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worksheets/sheet18.xml" ContentType="application/vnd.openxmlformats-officedocument.spreadsheetml.worksheet+xml"/>
  <Override PartName="/xl/comments18.xml" ContentType="application/vnd.openxmlformats-officedocument.spreadsheetml.comments+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40" yWindow="440" windowWidth="23500" windowHeight="9100" tabRatio="990" activeTab="0"/>
  </bookViews>
  <sheets>
    <sheet name="Econ" sheetId="1" r:id="rId1"/>
    <sheet name="Demo &amp; Health" sheetId="2" r:id="rId2"/>
    <sheet name="VAD" sheetId="3" r:id="rId3"/>
    <sheet name="Neonatal" sheetId="4" r:id="rId4"/>
    <sheet name="NTD " sheetId="5" r:id="rId5"/>
    <sheet name="Mat Mort" sheetId="6" r:id="rId6"/>
    <sheet name="SUM Mort" sheetId="7" r:id="rId7"/>
    <sheet name="IDA kids" sheetId="8" r:id="rId8"/>
    <sheet name="IDA Adults" sheetId="9" r:id="rId9"/>
    <sheet name="SUM DAR " sheetId="10" r:id="rId10"/>
    <sheet name="Cons Cov" sheetId="11" r:id="rId11"/>
    <sheet name="Effect Est" sheetId="12" r:id="rId12"/>
    <sheet name="SUM Mort Ben" sheetId="13" r:id="rId13"/>
    <sheet name="SUM Fin Ben" sheetId="14" r:id="rId14"/>
    <sheet name="Premix" sheetId="15" r:id="rId15"/>
    <sheet name="Mill" sheetId="16" r:id="rId16"/>
    <sheet name="Govt" sheetId="17" r:id="rId17"/>
    <sheet name="SUM Cost" sheetId="18" r:id="rId18"/>
    <sheet name="BCR" sheetId="19" r:id="rId19"/>
    <sheet name="Sheet1" sheetId="20" r:id="rId20"/>
    <sheet name="Sheet2" sheetId="21" r:id="rId21"/>
  </sheets>
  <definedNames>
    <definedName name="_ftn1" localSheetId="1">'Demo &amp; Health'!#REF!</definedName>
    <definedName name="_ftnref1" localSheetId="1">'Demo &amp; Health'!#REF!</definedName>
    <definedName name="_Hlk234306595" localSheetId="1">'Demo &amp; Health'!#REF!</definedName>
    <definedName name="Z_3BCF2E9D_594F_EB49_8CB4_DB10721AC113_.wvu.Rows" localSheetId="5" hidden="1">'Mat Mort'!$21:$30</definedName>
    <definedName name="Z_3BCF2E9D_594F_EB49_8CB4_DB10721AC113_.wvu.Rows" localSheetId="14" hidden="1">'Premix'!$3:$5,'Premix'!$7:$7,'Premix'!$9:$10</definedName>
    <definedName name="Z_F8A251D6_1D5B_4337_AA9D_A0FA3B5A536F_.wvu.Rows" localSheetId="5" hidden="1">'Mat Mort'!$21:$30</definedName>
    <definedName name="Z_F8A251D6_1D5B_4337_AA9D_A0FA3B5A536F_.wvu.Rows" localSheetId="14" hidden="1">'Premix'!$3:$5,'Premix'!$7:$7,'Premix'!$9:$10</definedName>
  </definedNames>
  <calcPr fullCalcOnLoad="1"/>
</workbook>
</file>

<file path=xl/comments15.xml><?xml version="1.0" encoding="utf-8"?>
<comments xmlns="http://schemas.openxmlformats.org/spreadsheetml/2006/main">
  <authors>
    <author>Becky Handforth</author>
  </authors>
  <commentList>
    <comment ref="D8" authorId="0">
      <text>
        <r>
          <rPr>
            <b/>
            <sz val="9"/>
            <rFont val="Geneva"/>
            <family val="0"/>
          </rPr>
          <t>Becky Handforth:</t>
        </r>
        <r>
          <rPr>
            <sz val="9"/>
            <rFont val="Geneva"/>
            <family val="0"/>
          </rPr>
          <t xml:space="preserve">
Taken from table below
</t>
        </r>
      </text>
    </comment>
    <comment ref="G8" authorId="0">
      <text>
        <r>
          <rPr>
            <b/>
            <sz val="9"/>
            <rFont val="Arial"/>
            <family val="2"/>
          </rPr>
          <t>Becky Handforth:</t>
        </r>
        <r>
          <rPr>
            <sz val="9"/>
            <rFont val="Arial"/>
            <family val="2"/>
          </rPr>
          <t xml:space="preserve">
Taken from table below, left</t>
        </r>
      </text>
    </comment>
  </commentList>
</comments>
</file>

<file path=xl/comments16.xml><?xml version="1.0" encoding="utf-8"?>
<comments xmlns="http://schemas.openxmlformats.org/spreadsheetml/2006/main">
  <authors>
    <author>Bagriansky</author>
  </authors>
  <commentList>
    <comment ref="C10" authorId="0">
      <text>
        <r>
          <rPr>
            <b/>
            <sz val="9"/>
            <rFont val="Geneva"/>
            <family val="0"/>
          </rPr>
          <t>Bagriansky:</t>
        </r>
        <r>
          <rPr>
            <sz val="9"/>
            <rFont val="Geneva"/>
            <family val="0"/>
          </rPr>
          <t xml:space="preserve">
employees</t>
        </r>
      </text>
    </comment>
    <comment ref="C12" authorId="0">
      <text>
        <r>
          <rPr>
            <b/>
            <sz val="9"/>
            <rFont val="Geneva"/>
            <family val="0"/>
          </rPr>
          <t>Bagriansky:</t>
        </r>
        <r>
          <rPr>
            <sz val="9"/>
            <rFont val="Geneva"/>
            <family val="0"/>
          </rPr>
          <t xml:space="preserve">
# tests
</t>
        </r>
      </text>
    </comment>
  </commentList>
</comments>
</file>

<file path=xl/comments18.xml><?xml version="1.0" encoding="utf-8"?>
<comments xmlns="http://schemas.openxmlformats.org/spreadsheetml/2006/main">
  <authors>
    <author>Bagriansky</author>
  </authors>
  <commentList>
    <comment ref="B3" authorId="0">
      <text>
        <r>
          <rPr>
            <b/>
            <sz val="9"/>
            <rFont val="Geneva"/>
            <family val="0"/>
          </rPr>
          <t>Bagriansky:</t>
        </r>
        <r>
          <rPr>
            <sz val="9"/>
            <rFont val="Geneva"/>
            <family val="0"/>
          </rPr>
          <t xml:space="preserve">
Presume 6 months start-up and no fortification
</t>
        </r>
      </text>
    </comment>
  </commentList>
</comments>
</file>

<file path=xl/comments5.xml><?xml version="1.0" encoding="utf-8"?>
<comments xmlns="http://schemas.openxmlformats.org/spreadsheetml/2006/main">
  <authors>
    <author>Bagriansky</author>
  </authors>
  <commentList>
    <comment ref="B48" authorId="0">
      <text>
        <r>
          <rPr>
            <b/>
            <sz val="9"/>
            <rFont val="Tahoma"/>
            <family val="2"/>
          </rPr>
          <t>Bagriansky:</t>
        </r>
        <r>
          <rPr>
            <sz val="9"/>
            <rFont val="Tahoma"/>
            <family val="2"/>
          </rPr>
          <t xml:space="preserve">
Whats this for?</t>
        </r>
      </text>
    </comment>
  </commentList>
</comments>
</file>

<file path=xl/sharedStrings.xml><?xml version="1.0" encoding="utf-8"?>
<sst xmlns="http://schemas.openxmlformats.org/spreadsheetml/2006/main" count="648" uniqueCount="422">
  <si>
    <t>Total</t>
  </si>
  <si>
    <t>Economic Productivity Loss Projections</t>
  </si>
  <si>
    <t xml:space="preserve">Average Annual Wage in All Sectors </t>
  </si>
  <si>
    <t>Demographic and Labor Background Data</t>
  </si>
  <si>
    <t xml:space="preserve">Health Data Background </t>
  </si>
  <si>
    <t>Health Background Data</t>
  </si>
  <si>
    <t xml:space="preserve">Average Annual Wage All Sectors </t>
  </si>
  <si>
    <t xml:space="preserve">Lost Workforce </t>
  </si>
  <si>
    <t>Women</t>
  </si>
  <si>
    <t>Men</t>
  </si>
  <si>
    <t>Totals</t>
  </si>
  <si>
    <t>Demographic and Labor Data Background</t>
  </si>
  <si>
    <t>Working in Manual Labor</t>
  </si>
  <si>
    <t>Heavy Manual Labor Share of Overall Manual Labor</t>
  </si>
  <si>
    <t>Workers in Heavy Manual Labor</t>
  </si>
  <si>
    <t>Productivity Deficit</t>
  </si>
  <si>
    <t xml:space="preserve">Manual Labor Loss Subtotal </t>
  </si>
  <si>
    <t>Additional Deficit</t>
  </si>
  <si>
    <t xml:space="preserve">Additional Loss for Heavy Manual Labor Subtotal </t>
  </si>
  <si>
    <t>Grand Total</t>
  </si>
  <si>
    <t>%</t>
  </si>
  <si>
    <t>Employed Population</t>
  </si>
  <si>
    <t>Lost Current Productivity</t>
  </si>
  <si>
    <t>Demographics</t>
  </si>
  <si>
    <t>Iron Deficiency Anemia</t>
  </si>
  <si>
    <t>Total Population</t>
  </si>
  <si>
    <t>Average Wage Sector</t>
  </si>
  <si>
    <t>Discount Rate</t>
  </si>
  <si>
    <t>IDA in Adults</t>
  </si>
  <si>
    <t>000,000/yr</t>
  </si>
  <si>
    <t>Summary Economic Consequences for All Indicators</t>
  </si>
  <si>
    <t>Current Adult Productivity Loss from IDA</t>
  </si>
  <si>
    <t>Workers with IDA in Heavy Manual Labor</t>
  </si>
  <si>
    <t>Male Worklife</t>
  </si>
  <si>
    <t>Birth Rate</t>
  </si>
  <si>
    <t>Infant Mortality/1000</t>
  </si>
  <si>
    <t>% of GDP</t>
  </si>
  <si>
    <t>Under 5 Mortality</t>
  </si>
  <si>
    <t>Mortality Rates</t>
  </si>
  <si>
    <t>Neonatal &lt; 1 month</t>
  </si>
  <si>
    <t>Number</t>
  </si>
  <si>
    <t>Source</t>
  </si>
  <si>
    <t>Current Healthcare     Costs</t>
  </si>
  <si>
    <t>Child Productivity Loss from ID</t>
  </si>
  <si>
    <t>Calculated</t>
  </si>
  <si>
    <t>Healthy Life Expectancy</t>
  </si>
  <si>
    <t>Healthy Life Expectancy, Male</t>
  </si>
  <si>
    <t>Healthy Life Expectancy, Female</t>
  </si>
  <si>
    <t>VAD</t>
  </si>
  <si>
    <t>Loss of Productive Potential</t>
  </si>
  <si>
    <t xml:space="preserve">Lost Future Productivity </t>
  </si>
  <si>
    <t>Coefficient of Loss</t>
  </si>
  <si>
    <t>Annual Live Births</t>
  </si>
  <si>
    <t>Fatality Rate</t>
  </si>
  <si>
    <t>GDP/Working Person</t>
  </si>
  <si>
    <t>Assumption</t>
  </si>
  <si>
    <t>Mortality Months 1-11</t>
  </si>
  <si>
    <t>Estimated 6-11 months</t>
  </si>
  <si>
    <t>Mortality 6-59 months</t>
  </si>
  <si>
    <t xml:space="preserve">VAD Associated Deaths of Children 6-59 months </t>
  </si>
  <si>
    <t>Anemia in Children 6-59 months</t>
  </si>
  <si>
    <t xml:space="preserve">Anemia in Pregnant Women </t>
  </si>
  <si>
    <t xml:space="preserve">Iron Deficiency Anemia Proportion </t>
  </si>
  <si>
    <t xml:space="preserve">Anemia Adult Women </t>
  </si>
  <si>
    <t xml:space="preserve">Anemia Adult Men </t>
  </si>
  <si>
    <t>Estimated IDA in Pregnant Women</t>
  </si>
  <si>
    <t xml:space="preserve">Estimated IDA in WRA </t>
  </si>
  <si>
    <t>Estimated IDA in Adult Men</t>
  </si>
  <si>
    <t>Prevalence of Micronutrient Deficiencies</t>
  </si>
  <si>
    <t>Estimated IDA in Children 6-59 months</t>
  </si>
  <si>
    <t xml:space="preserve">Prevalence of IDA in Pregnant Women </t>
  </si>
  <si>
    <t xml:space="preserve">IDA Associated Neonatal Deaths </t>
  </si>
  <si>
    <t xml:space="preserve">Proportion IDA in Pregnant Women </t>
  </si>
  <si>
    <t>Proportion IDA in WRA</t>
  </si>
  <si>
    <t>Proportion IDA in Male</t>
  </si>
  <si>
    <t>Dibley et al in Black et al Lancet 2013</t>
  </si>
  <si>
    <t>Neo Natal Mortality</t>
  </si>
  <si>
    <t>Maternal Mortality</t>
  </si>
  <si>
    <t xml:space="preserve">Childhood IDA </t>
  </si>
  <si>
    <t>Under 5 year Deaths</t>
  </si>
  <si>
    <t>Iron Protection</t>
  </si>
  <si>
    <t>Level of Iron in PPM (mg/kg)</t>
  </si>
  <si>
    <t>Mid bioavailability female 19-50 yrs</t>
  </si>
  <si>
    <t>% WHO EAR</t>
  </si>
  <si>
    <t>WHO RNI</t>
  </si>
  <si>
    <t>% WHO RNI</t>
  </si>
  <si>
    <t>Level of Folic Acid in PPM (mg/kg)</t>
  </si>
  <si>
    <t>WHO</t>
  </si>
  <si>
    <t>Folic Acid</t>
  </si>
  <si>
    <t>From WHO Recommendations or National Policy</t>
  </si>
  <si>
    <t>Fortification Level</t>
  </si>
  <si>
    <t>Compound</t>
  </si>
  <si>
    <t>Compound KG Premix</t>
  </si>
  <si>
    <t>Compound Cost/Kg</t>
  </si>
  <si>
    <t>Cost per Component</t>
  </si>
  <si>
    <t>Share  Nutrient Costs</t>
  </si>
  <si>
    <t>mg/kg</t>
  </si>
  <si>
    <t xml:space="preserve">mg/kg </t>
  </si>
  <si>
    <t>$/kg</t>
  </si>
  <si>
    <t>$</t>
  </si>
  <si>
    <t>Thiamin</t>
  </si>
  <si>
    <t>Thiamin Mononitrate</t>
  </si>
  <si>
    <t>Riboflavin</t>
  </si>
  <si>
    <t>Niacin</t>
  </si>
  <si>
    <t>Niacinamide</t>
  </si>
  <si>
    <t>Vit b12</t>
  </si>
  <si>
    <t>Zinc</t>
  </si>
  <si>
    <t>Zinc Oxide</t>
  </si>
  <si>
    <t>Vitamin A</t>
  </si>
  <si>
    <t xml:space="preserve">CSW 250 </t>
  </si>
  <si>
    <t>Nutrients Subtotal</t>
  </si>
  <si>
    <t>Excipient</t>
  </si>
  <si>
    <t>Nutrient Cost/KG</t>
  </si>
  <si>
    <t>Transport/Distribution</t>
  </si>
  <si>
    <t>Cost/kg</t>
  </si>
  <si>
    <t xml:space="preserve">Cost/MT </t>
  </si>
  <si>
    <t>Duty</t>
  </si>
  <si>
    <t>VAT</t>
  </si>
  <si>
    <t>Expected Retention</t>
  </si>
  <si>
    <t>Level of Vitamin A in PPM (mg/kg)</t>
  </si>
  <si>
    <t>Premix Cost</t>
  </si>
  <si>
    <t>Mill Fortification Cost</t>
  </si>
  <si>
    <t>Unit</t>
  </si>
  <si>
    <t>Cost/Unit</t>
  </si>
  <si>
    <t>Feeders and Start-Up</t>
  </si>
  <si>
    <t>Installation and Training</t>
  </si>
  <si>
    <t xml:space="preserve">Mill Operation  </t>
  </si>
  <si>
    <t>Process Labor</t>
  </si>
  <si>
    <t xml:space="preserve">Maintenance (new feeders &amp; spare parts) </t>
  </si>
  <si>
    <t>Quality Assurance: Spot Tests Reagents</t>
  </si>
  <si>
    <t>Incremental Packaging Cost</t>
  </si>
  <si>
    <t>50 kg bags</t>
  </si>
  <si>
    <t xml:space="preserve">Management, Overhead, Administration </t>
  </si>
  <si>
    <t># Mills/Production Lines</t>
  </si>
  <si>
    <t>Start-Up Cost Estimates</t>
  </si>
  <si>
    <t>Training Food Control Agency</t>
  </si>
  <si>
    <t>Training Program Monitors</t>
  </si>
  <si>
    <t>Inspections/Yr</t>
  </si>
  <si>
    <t>Capital Improvement</t>
  </si>
  <si>
    <t>NTD</t>
  </si>
  <si>
    <t>Benefit</t>
  </si>
  <si>
    <t>Neo Natal</t>
  </si>
  <si>
    <t>Maternal</t>
  </si>
  <si>
    <t>IDA Kids</t>
  </si>
  <si>
    <t>IDA Adults</t>
  </si>
  <si>
    <t>Cost</t>
  </si>
  <si>
    <t>GDP (current US$)</t>
  </si>
  <si>
    <t xml:space="preserve">Calculated from Mortality &amp; Birth Rates </t>
  </si>
  <si>
    <t>Calculated: Infant Minus Neonatal</t>
  </si>
  <si>
    <t>Calculated: &lt; 5 minus Infant Plus 6-11 months</t>
  </si>
  <si>
    <t>Economically Active Adults</t>
  </si>
  <si>
    <t>Economically Active Male Adults</t>
  </si>
  <si>
    <t>Economically Active Female Adults</t>
  </si>
  <si>
    <t>10 Year Status Qquo Losses at Current Population Growth</t>
  </si>
  <si>
    <t>Mortality Summary</t>
  </si>
  <si>
    <t>Under 5 Mortality/1000</t>
  </si>
  <si>
    <t>Neonatal &lt; 1 month/1000</t>
  </si>
  <si>
    <t>Recurring Costs</t>
  </si>
  <si>
    <t xml:space="preserve">Food Control Mill Inspection  </t>
  </si>
  <si>
    <t>Estimated Total Cost/Inspection</t>
  </si>
  <si>
    <t>Projected Inpsection /Yr</t>
  </si>
  <si>
    <t xml:space="preserve">Subtotal Inspection Costs </t>
  </si>
  <si>
    <t>Market /Monitoring/Sweeps</t>
  </si>
  <si>
    <t>Add Components to Ongoing Surveys</t>
  </si>
  <si>
    <t>Lump Sum Bi Annual</t>
  </si>
  <si>
    <t>$000,000</t>
  </si>
  <si>
    <t>Up Charge/kg</t>
  </si>
  <si>
    <t>Average Annual NTD Rate/1000 Births</t>
  </si>
  <si>
    <t>Advocacy/Social Marketing</t>
  </si>
  <si>
    <t>Maternal Mortality Rate</t>
  </si>
  <si>
    <t>Proportion of maternal anemia due to iron deficiency</t>
  </si>
  <si>
    <t>Coefficient for Loss and Perinatal Death Attributed to Iron Deficiency Anemia</t>
  </si>
  <si>
    <t xml:space="preserve">Prevalence </t>
  </si>
  <si>
    <t>Hemoglobin cutoff level to define anemia in pregancy (g/dL)</t>
  </si>
  <si>
    <t>Standard deviation of hemoglobin when anemia prevalence &lt;15%</t>
  </si>
  <si>
    <t>Standard deviation of hemoglobin when anemia prevalence &gt;=15%, &lt;=30%</t>
  </si>
  <si>
    <t>Standard deviation of hemoglobin when anemia prevalence &gt;30%</t>
  </si>
  <si>
    <t>Lower anemia prevalence cutoff for calculating hemoglobin SD</t>
  </si>
  <si>
    <t>Upper anemia prevalence cutoff for calculating hemoglobin SD</t>
  </si>
  <si>
    <t>Standard deviation of hemoglobin (current prevalence)  (Calculated)</t>
  </si>
  <si>
    <t>Standard deviation of hemoglobin (no iron deficiency)  (Calculated)</t>
  </si>
  <si>
    <t>National Labor Participation Rate</t>
  </si>
  <si>
    <t>Labor Participation Rate (Male and Female)</t>
  </si>
  <si>
    <t xml:space="preserve">Female Labor Participation Rate </t>
  </si>
  <si>
    <t>Total NPV Economic Loss</t>
  </si>
  <si>
    <t>5% feeder value</t>
  </si>
  <si>
    <t xml:space="preserve">Average Wage Mill Worker </t>
  </si>
  <si>
    <t>Total Cost MT</t>
  </si>
  <si>
    <t>Subtotal Operating Costs</t>
  </si>
  <si>
    <t>Total Deaths</t>
  </si>
  <si>
    <t>Calculated from Lancet 2013 (24% reduction in deaths)</t>
  </si>
  <si>
    <t>Horton &amp; Ross,  2003</t>
  </si>
  <si>
    <t>Total Projected Folic Acid Associated Deaths from NTDs</t>
  </si>
  <si>
    <t>DeRegil et al 2010 from Cochrane Review</t>
  </si>
  <si>
    <t>Annual Social Security, Welfare or Other Special Programs</t>
  </si>
  <si>
    <t>Estimated Annual Cost per Case of Ongoing Rehabilitation and Care for Moderately Disabled</t>
  </si>
  <si>
    <t>Surgery Cost Per Year</t>
  </si>
  <si>
    <t>Ongoing Medical Care and Rehab Costs per Year</t>
  </si>
  <si>
    <t xml:space="preserve">Total Recurring Costs for Care of Survivors </t>
  </si>
  <si>
    <t>Assumption used in Horton et al, 2003</t>
  </si>
  <si>
    <t>Adjustment for Manual Wage</t>
  </si>
  <si>
    <t>From Horton et al 2003</t>
  </si>
  <si>
    <t>Growth in Average per Person Flour Consumption</t>
  </si>
  <si>
    <t>Children</t>
  </si>
  <si>
    <t>Adult &amp; Women Reproductive Age</t>
  </si>
  <si>
    <t>Added ug/dy Vitamin A per Average Child 6-59 months</t>
  </si>
  <si>
    <t>Dary, Unofficial (Mid-bioavailability female 19-50 yrs)</t>
  </si>
  <si>
    <t xml:space="preserve">* Will there be an increase in effectiveness estimate along with increase in average per capita consumption? If so in what yeat and needs to be manually added in Worksheet Sum Ben </t>
  </si>
  <si>
    <t>*Protection or Prevention among regular consumers</t>
  </si>
  <si>
    <t>Total Benefit</t>
  </si>
  <si>
    <t>IDA Adult Women</t>
  </si>
  <si>
    <t xml:space="preserve">IDA Pregnant Women </t>
  </si>
  <si>
    <t>IDA Children 6 months - 5 years</t>
  </si>
  <si>
    <t>NTD Births</t>
  </si>
  <si>
    <t>NaFeEDTA</t>
  </si>
  <si>
    <t>Addition Rate*</t>
  </si>
  <si>
    <t>Total Cost per Kg</t>
  </si>
  <si>
    <t>Total Premix Cost Year 1</t>
  </si>
  <si>
    <t>Iron Compound</t>
  </si>
  <si>
    <t xml:space="preserve">Assume 6 Months fortification an no benefit in Year 1 </t>
  </si>
  <si>
    <t>No Cost Applied as Benefits taken in 2024</t>
  </si>
  <si>
    <t>Total Maternal Deaths Attributed to Anemia</t>
  </si>
  <si>
    <t>Growth Population Rate</t>
  </si>
  <si>
    <t>Risk Group</t>
  </si>
  <si>
    <t>% Premix Costs</t>
  </si>
  <si>
    <t>Total Start-Up</t>
  </si>
  <si>
    <t>Child Regional IDA</t>
  </si>
  <si>
    <t>Child Proportion IDA</t>
  </si>
  <si>
    <t>Baseline Loss</t>
  </si>
  <si>
    <t>Coverage</t>
  </si>
  <si>
    <t>Effective</t>
  </si>
  <si>
    <t>Base Loss</t>
  </si>
  <si>
    <t>Time, Travel, Expendables, Record Keeping, Management</t>
  </si>
  <si>
    <t>10 Year Status Quo Losses at Current Population Growth</t>
  </si>
  <si>
    <t>Assume Benefits take 12 months accrue</t>
  </si>
  <si>
    <t>Effectiveness* (Objective)</t>
  </si>
  <si>
    <t>Ongoing Food Control</t>
  </si>
  <si>
    <t>Additional Monitoring</t>
  </si>
  <si>
    <t>Start-Up</t>
  </si>
  <si>
    <t>10 Year Summary Government Budget</t>
  </si>
  <si>
    <t>Annual</t>
  </si>
  <si>
    <t>Reduced</t>
  </si>
  <si>
    <t>Assumptions &amp; Objectives</t>
  </si>
  <si>
    <t>Consumption kg/yr</t>
  </si>
  <si>
    <t>Target/Scale Fortified Production MT/yr</t>
  </si>
  <si>
    <t xml:space="preserve">Calculated </t>
  </si>
  <si>
    <t>Workers with IDA in Manual Labor</t>
  </si>
  <si>
    <t xml:space="preserve">Benefit Cost Ratio </t>
  </si>
  <si>
    <t>Sulfate</t>
  </si>
  <si>
    <t>Fumarate</t>
  </si>
  <si>
    <t>Calculated: 6/11ths of 1-11 months x 80% as estimated correction for lower death rate in older children</t>
  </si>
  <si>
    <t>Status Quo Deaths</t>
  </si>
  <si>
    <t>10 Year</t>
  </si>
  <si>
    <t>Children with ID/IDA Cognitive Deficit</t>
  </si>
  <si>
    <t>Assumptions</t>
  </si>
  <si>
    <t>% Healthcare Costs</t>
  </si>
  <si>
    <t>Saved Lives</t>
  </si>
  <si>
    <t xml:space="preserve">Activity </t>
  </si>
  <si>
    <t xml:space="preserve">Compound MT Flour  </t>
  </si>
  <si>
    <t>Pregnant Women Proportion IDA</t>
  </si>
  <si>
    <t>Pregnant Women Regional Anemia</t>
  </si>
  <si>
    <t>Pregnant Women Regional IDA</t>
  </si>
  <si>
    <t>Regional Statistic for IDA From Black et al in Lancet</t>
  </si>
  <si>
    <t>Infant Mortality</t>
  </si>
  <si>
    <t xml:space="preserve">Iron </t>
  </si>
  <si>
    <t>DHS, HICS, Nutrition ect per 5 Years</t>
  </si>
  <si>
    <t>12 Spot Test/dy at 250 operating days/mill:</t>
  </si>
  <si>
    <t xml:space="preserve">4 Employees Per Mill @ 10% $2233/yr annual salary </t>
  </si>
  <si>
    <t>Zinc Sulfate</t>
  </si>
  <si>
    <t>Growth in Population of Consumers</t>
  </si>
  <si>
    <t>150% Average Wage</t>
  </si>
  <si>
    <t>Child Regional Anemia</t>
  </si>
  <si>
    <t>Total Annual Food Control Direct Expense</t>
  </si>
  <si>
    <t>Benefits Begin  after 6 months (50%)</t>
  </si>
  <si>
    <t>\</t>
  </si>
  <si>
    <t>Source/Comments</t>
  </si>
  <si>
    <t xml:space="preserve">Projected Mortality </t>
  </si>
  <si>
    <t>From Rates Above</t>
  </si>
  <si>
    <t>Based on B7 Calculation from Stolzfus et al 2004</t>
  </si>
  <si>
    <t>Based on B7 and B8 Calculation from Stolzfus et al 2005</t>
  </si>
  <si>
    <t>Murray-Kolb et al in Lancet 2013</t>
  </si>
  <si>
    <t>Background Calculations From Stoltzfus Hidden in Rows Below</t>
  </si>
  <si>
    <t>Current Percent Population Consuming Flour</t>
  </si>
  <si>
    <t>% Flour Fortified</t>
  </si>
  <si>
    <t xml:space="preserve">Rationale: Evidence Used and Background to Team Consensus </t>
  </si>
  <si>
    <t>Round-up Excipient in 50g increments to 20-25% total line 12</t>
  </si>
  <si>
    <t>Compound Activity</t>
  </si>
  <si>
    <t>Cost of Compound $/Kg</t>
  </si>
  <si>
    <t>Assume Each Inspection Goes to Lab ($30 vit A, $20 iron, Shipping Handling $25)</t>
  </si>
  <si>
    <t>Other associated costs as needed</t>
  </si>
  <si>
    <t>Other Costs Per Annum</t>
  </si>
  <si>
    <t>Caclulated</t>
  </si>
  <si>
    <t>From National Statistics or Assumption</t>
  </si>
  <si>
    <t>Adult Labor Participation Rate (Male and Female Combined)</t>
  </si>
  <si>
    <t>Adult Male Labor Participation Rate</t>
  </si>
  <si>
    <t>Adult Female Labor Participation rate</t>
  </si>
  <si>
    <t>Average Maternal Age at Birth of First Child</t>
  </si>
  <si>
    <t>Age at Work Force Entry</t>
  </si>
  <si>
    <t>Female Worklife</t>
  </si>
  <si>
    <t>Work Life Average (Male and Female)</t>
  </si>
  <si>
    <t>Female Manual Wage as % Male Manual Wage</t>
  </si>
  <si>
    <t>National Statistic</t>
  </si>
  <si>
    <t>Population Working Age Male Adults 15-65</t>
  </si>
  <si>
    <t>Population Working Age Female Adults 15-65</t>
  </si>
  <si>
    <t>Population Children &lt; 15 years</t>
  </si>
  <si>
    <t>Population Children &lt; 5 years</t>
  </si>
  <si>
    <t>Annual Population Growth</t>
  </si>
  <si>
    <t>Annual Birth Rate Growth</t>
  </si>
  <si>
    <t>Maternal Mortality/100,000</t>
  </si>
  <si>
    <t>From National Statistics or Caculated: % from From Black et al Lancet Web Table 3</t>
  </si>
  <si>
    <t>Vitamin A Deficiency in Children 6-59 months</t>
  </si>
  <si>
    <t xml:space="preserve">National Statistic or Calculated: Average IDA in Children &amp; Pregnant Women </t>
  </si>
  <si>
    <t>Deaths of Children 6-59 Months (all causes)</t>
  </si>
  <si>
    <t>Population Attributable Risk (PAR)</t>
  </si>
  <si>
    <t>Prevalence of VAD</t>
  </si>
  <si>
    <t>Relative Risk of Death Due to VAD</t>
  </si>
  <si>
    <t>Number of Deaths Due to VAD</t>
  </si>
  <si>
    <t>Annual Wage</t>
  </si>
  <si>
    <t xml:space="preserve">Deaths of Infants &lt; 1 Month </t>
  </si>
  <si>
    <t xml:space="preserve">Relative Risk of Neonatal Death Due IDA in Mother </t>
  </si>
  <si>
    <t xml:space="preserve">Number of Child Deaths Attributed to IDA in Mother </t>
  </si>
  <si>
    <t>Burden of Neural Tube Defects (NTDs)-Includes Spina Bifada &amp; Anencephaly</t>
  </si>
  <si>
    <t>Folic Acid Associated/Preventable NTDs</t>
  </si>
  <si>
    <t>Projected Annual Folic Acid Associated NTDs</t>
  </si>
  <si>
    <t xml:space="preserve">Number of Survivors </t>
  </si>
  <si>
    <t>Proportion of Survivors with Severe Disability</t>
  </si>
  <si>
    <t>Proportion of Survivors with Moderate Disability</t>
  </si>
  <si>
    <t>Number of Survivors with Severe Disability</t>
  </si>
  <si>
    <t>Number of Survivors with Moderate Disability</t>
  </si>
  <si>
    <t xml:space="preserve">Average Annual Wage, All Sectors </t>
  </si>
  <si>
    <t>Mortality: Net Present Value (NPV) Economic Loss (assuming 15 years to workforce entry)</t>
  </si>
  <si>
    <t>Survivor Severe Disability: NPV 100% Productivity Loss  (assuming 15 years to workforce entry)</t>
  </si>
  <si>
    <t>Survivor Moderate Disability: 50% Productivity Loss  (assuming 15 years to workforce entry)</t>
  </si>
  <si>
    <t>% Births with Access to Special Care or Pediatric Surgery for NTD Cases</t>
  </si>
  <si>
    <t>Estimated Annual Cost per Case of Ongoing Rehabilitation and Care for Severely Disabled</t>
  </si>
  <si>
    <t>Annual Cost of Social Security, Welfare and Other Special Programs</t>
  </si>
  <si>
    <t>Total Annual Maternal Deaths (from all causes)</t>
  </si>
  <si>
    <t>Prevalence of Anemia Among Pregnant Women</t>
  </si>
  <si>
    <t>Proportion of Maternal Anemia Due to Iron Deficiency</t>
  </si>
  <si>
    <t>Mean Hemoglobin Level at Current Prevalence</t>
  </si>
  <si>
    <t>Mean Hemoglobin Level in Absence of Iron Deficiency</t>
  </si>
  <si>
    <t>Difference in Mean Hemoglobin Levels</t>
  </si>
  <si>
    <t>RR of Maternal Mortality Associated with a 1 g/dL Increase in Hemoglobin:</t>
  </si>
  <si>
    <t xml:space="preserve">Proportion of Perinatal Mortality Due to IDA: Population Attributable Risk(PAR) </t>
  </si>
  <si>
    <t xml:space="preserve">Economic Loss from Average Age of Maternity </t>
  </si>
  <si>
    <t>NTDs</t>
  </si>
  <si>
    <t xml:space="preserve">Total Population &lt;5 yrs </t>
  </si>
  <si>
    <t>Proportion of Children with IDA</t>
  </si>
  <si>
    <t xml:space="preserve">Number of Children  with IDA </t>
  </si>
  <si>
    <t>Project Proportion/Ratio Children with ID but without IDA</t>
  </si>
  <si>
    <t>Reduction in Future Productivity in All Sectors due to Anemia</t>
  </si>
  <si>
    <t>NPV Economic Loss (12.5 years to workforce entry)</t>
  </si>
  <si>
    <t>Taken from a Previous Worksheet</t>
  </si>
  <si>
    <t xml:space="preserve">National Statistic for Childhood ID or Assume IDA + 50%  </t>
  </si>
  <si>
    <t>Per Capita Consumption in kg/yr Among Consumers</t>
  </si>
  <si>
    <t>Consumption 0.5-3 Year Old as % Adult</t>
  </si>
  <si>
    <t>Consumption 4-6 Year Old as % Adult</t>
  </si>
  <si>
    <t>Average Consumption 6-59 Months in g/day</t>
  </si>
  <si>
    <t>Mean Daily Flour Consumption in g/day for Adults</t>
  </si>
  <si>
    <t>From National Statistics or Assume as % Calorie Needs</t>
  </si>
  <si>
    <t>WHO Estimated Average Requirement (EAR) per Day</t>
  </si>
  <si>
    <t>WHO Recommended Nutrient Intake (RNI) per Day</t>
  </si>
  <si>
    <t>Added mg/day Iron per Average Adult Female Consumer</t>
  </si>
  <si>
    <t xml:space="preserve">Added mg/dy Iron per Average Child Consumer 6-59 Months </t>
  </si>
  <si>
    <t>Added ug/day Folic Acid per Consumer</t>
  </si>
  <si>
    <t>WHO EAR/Day</t>
  </si>
  <si>
    <t>WHO RNI per Day</t>
  </si>
  <si>
    <t>WHO EAR per Day</t>
  </si>
  <si>
    <t>WHO RNI/Day</t>
  </si>
  <si>
    <t>FF Coverage 
(From Cons Cov)</t>
  </si>
  <si>
    <t>VAD in Children Ages 6-59 months</t>
  </si>
  <si>
    <t xml:space="preserve">Mid Bioavailability Average 1-3 and 4-6 yrs </t>
  </si>
  <si>
    <t>&lt;5 Deaths</t>
  </si>
  <si>
    <t>Proportion</t>
  </si>
  <si>
    <t>Improved</t>
  </si>
  <si>
    <t>From Effectiveness Estimate</t>
  </si>
  <si>
    <t xml:space="preserve">Feeders for Expansion into Private Sector </t>
  </si>
  <si>
    <t>Lab and Other Capital Improvement Costs</t>
  </si>
  <si>
    <t>Lab Costs/Inspection-per Sample</t>
  </si>
  <si>
    <t>Subtotal Lab Costs</t>
  </si>
  <si>
    <t>Industry Cost</t>
  </si>
  <si>
    <t>Government Cost</t>
  </si>
  <si>
    <t>Indicator</t>
  </si>
  <si>
    <t>Notes</t>
  </si>
  <si>
    <t xml:space="preserve">World Bank Human Development Report, Investing in Health, 1993 </t>
  </si>
  <si>
    <t xml:space="preserve">Net Present Value (NPV) Economic Loss </t>
  </si>
  <si>
    <t>National Stat or Calculated from Above</t>
  </si>
  <si>
    <t>If significant</t>
  </si>
  <si>
    <t>Calculated (Double for EDTA for Relative Bioavailability to Ferrous)</t>
  </si>
  <si>
    <t>Folic Acid Protection: Women Reproductive Age</t>
  </si>
  <si>
    <t>Vitamin A Protection Children 6-59 Months</t>
  </si>
  <si>
    <t>National Data</t>
  </si>
  <si>
    <t>13 years to workforce entry (Assumed Average Age of Death is 2 yrs)</t>
  </si>
  <si>
    <t xml:space="preserve">Net Present Value (NPV)  Economic Loss </t>
  </si>
  <si>
    <t>,</t>
  </si>
  <si>
    <t>Population Working Age Adults 15-65</t>
  </si>
  <si>
    <t>National Statistic or Assumption Calculated from lines 16-18</t>
  </si>
  <si>
    <t xml:space="preserve">Background for Cost Estimates of Care for Survivors </t>
  </si>
  <si>
    <t>Projections for Cost of Care</t>
  </si>
  <si>
    <t>Fill in Relevant Iron Data in Yellow Tabs from Below</t>
  </si>
  <si>
    <t xml:space="preserve">Projection </t>
  </si>
  <si>
    <t xml:space="preserve"> </t>
  </si>
  <si>
    <t>Individual Wage/Labor Share GDP</t>
  </si>
  <si>
    <t>Average Annual Wage (Per Working Person Per Year)</t>
  </si>
  <si>
    <t xml:space="preserve">Per Capita Manual Wage as % Average Wages </t>
  </si>
  <si>
    <t xml:space="preserve">National Statistic or Assumption </t>
  </si>
  <si>
    <t>National Statistic or Assumption-ILO from 16 Developing Countries</t>
  </si>
  <si>
    <t>National Statistic or Assumption Calculated as 1/3rd of &lt;15 yrs</t>
  </si>
  <si>
    <t xml:space="preserve">From National Statistics or Assumption Calculated as 25% Women </t>
  </si>
  <si>
    <t>Calculated. Linked to B 31</t>
  </si>
  <si>
    <t>Calculated. Linked to B 28</t>
  </si>
  <si>
    <t>Calculated (assuming 15 years to workforce entry)</t>
  </si>
  <si>
    <t>Estimate of Cost per Case for Pediatric Surgey for NTD Cases</t>
  </si>
  <si>
    <t>Taken from Previous Worksheet</t>
  </si>
  <si>
    <t xml:space="preserve">Manual Labor Share (Agriculture/Industry/Construction) </t>
  </si>
  <si>
    <t xml:space="preserve">Proportion of Population Consuming Flour </t>
  </si>
  <si>
    <t>Calculated from previous worksheet</t>
  </si>
  <si>
    <t>Calculated based on average of lines 3 and 4</t>
  </si>
  <si>
    <t xml:space="preserve">From WHO Recommendations or National Policy:                    
Specify Compound: Ferrous Sulfate/Fumarate or EDTA </t>
  </si>
  <si>
    <r>
      <t>Nutrient Addition to Foods, J. C. </t>
    </r>
    <r>
      <rPr>
        <b/>
        <sz val="10"/>
        <color indexed="62"/>
        <rFont val="Arial"/>
        <family val="2"/>
      </rPr>
      <t>Bauernfeind</t>
    </r>
    <r>
      <rPr>
        <sz val="10"/>
        <color indexed="62"/>
        <rFont val="Arial"/>
        <family val="2"/>
      </rPr>
      <t> and P. A. Lachance. Food and </t>
    </r>
    <r>
      <rPr>
        <b/>
        <sz val="10"/>
        <color indexed="62"/>
        <rFont val="Arial"/>
        <family val="2"/>
      </rPr>
      <t>Nutrition</t>
    </r>
    <r>
      <rPr>
        <sz val="10"/>
        <color indexed="62"/>
        <rFont val="Arial"/>
        <family val="2"/>
      </rPr>
      <t> Press, Connecticut.</t>
    </r>
  </si>
  <si>
    <t xml:space="preserve">National Statistic </t>
  </si>
  <si>
    <t>Mills</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</si>
</sst>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0.0%"/>
    <numFmt numFmtId="181" formatCode="_(* #,##0.0_);_(* \(#,##0.0\);_(* &quot;-&quot;??_);_(@_)"/>
    <numFmt numFmtId="182" formatCode="_(* #,##0_);_(* \(#,##0\);_(* &quot;-&quot;??_);_(@_)"/>
    <numFmt numFmtId="183" formatCode="0.0"/>
    <numFmt numFmtId="184" formatCode="_(&quot;$&quot;* #,##0_);_(&quot;$&quot;* \(#,##0\);_(&quot;$&quot;* &quot;-&quot;??_);_(@_)"/>
    <numFmt numFmtId="185" formatCode="&quot;$&quot;#,##0"/>
    <numFmt numFmtId="186" formatCode="0.000"/>
    <numFmt numFmtId="187" formatCode="&quot;$&quot;#,##0.00"/>
    <numFmt numFmtId="188" formatCode="&quot;$&quot;#,##0.0"/>
    <numFmt numFmtId="189" formatCode="_(&quot;$&quot;* #,##0.000_);_(&quot;$&quot;* \(#,##0.000\);_(&quot;$&quot;* &quot;-&quot;??_);_(@_)"/>
    <numFmt numFmtId="190" formatCode="0.0000000000000000%"/>
    <numFmt numFmtId="191" formatCode="&quot;$&quot;#,##0.000000_);[Red]\(&quot;$&quot;#,##0.000000\)"/>
  </numFmts>
  <fonts count="91">
    <font>
      <sz val="10"/>
      <name val="Arial"/>
      <family val="0"/>
    </font>
    <font>
      <u val="single"/>
      <sz val="10"/>
      <color indexed="12"/>
      <name val="Arial"/>
      <family val="2"/>
    </font>
    <font>
      <b/>
      <sz val="10"/>
      <name val="Arial"/>
      <family val="2"/>
    </font>
    <font>
      <sz val="8"/>
      <name val="Arial"/>
      <family val="2"/>
    </font>
    <font>
      <u val="single"/>
      <sz val="7.5"/>
      <color indexed="36"/>
      <name val="Arial"/>
      <family val="2"/>
    </font>
    <font>
      <sz val="6"/>
      <name val="Arial"/>
      <family val="2"/>
    </font>
    <font>
      <b/>
      <i/>
      <sz val="10"/>
      <color indexed="18"/>
      <name val="Arial"/>
      <family val="2"/>
    </font>
    <font>
      <sz val="11"/>
      <name val="Calibri"/>
      <family val="2"/>
    </font>
    <font>
      <sz val="11"/>
      <name val="Arial"/>
      <family val="2"/>
    </font>
    <font>
      <sz val="9"/>
      <name val="Geneva"/>
      <family val="0"/>
    </font>
    <font>
      <b/>
      <sz val="9"/>
      <name val="Geneva"/>
      <family val="0"/>
    </font>
    <font>
      <sz val="9"/>
      <name val="Arial"/>
      <family val="2"/>
    </font>
    <font>
      <b/>
      <sz val="9"/>
      <name val="Arial"/>
      <family val="2"/>
    </font>
    <font>
      <sz val="9"/>
      <name val="Tahoma"/>
      <family val="2"/>
    </font>
    <font>
      <b/>
      <sz val="9"/>
      <name val="Tahoma"/>
      <family val="2"/>
    </font>
    <font>
      <sz val="10"/>
      <color indexed="62"/>
      <name val="Arial"/>
      <family val="2"/>
    </font>
    <font>
      <b/>
      <sz val="10"/>
      <color indexed="62"/>
      <name val="Arial"/>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1"/>
      <color indexed="56"/>
      <name val="Calibri"/>
      <family val="2"/>
    </font>
    <font>
      <sz val="10"/>
      <color indexed="8"/>
      <name val="Arial"/>
      <family val="2"/>
    </font>
    <font>
      <b/>
      <sz val="10"/>
      <color indexed="9"/>
      <name val="Arial"/>
      <family val="2"/>
    </font>
    <font>
      <sz val="8"/>
      <color indexed="63"/>
      <name val="Arial"/>
      <family val="2"/>
    </font>
    <font>
      <sz val="8"/>
      <color indexed="32"/>
      <name val="Arial"/>
      <family val="2"/>
    </font>
    <font>
      <sz val="10"/>
      <color indexed="10"/>
      <name val="Arial"/>
      <family val="2"/>
    </font>
    <font>
      <sz val="8"/>
      <color indexed="10"/>
      <name val="Arial"/>
      <family val="2"/>
    </font>
    <font>
      <b/>
      <sz val="10"/>
      <color indexed="17"/>
      <name val="Arial"/>
      <family val="2"/>
    </font>
    <font>
      <sz val="10"/>
      <color indexed="17"/>
      <name val="Arial"/>
      <family val="2"/>
    </font>
    <font>
      <b/>
      <sz val="10"/>
      <color indexed="60"/>
      <name val="Arial"/>
      <family val="2"/>
    </font>
    <font>
      <sz val="10"/>
      <color indexed="60"/>
      <name val="Arial"/>
      <family val="2"/>
    </font>
    <font>
      <sz val="8"/>
      <color indexed="8"/>
      <name val="Calibri"/>
      <family val="2"/>
    </font>
    <font>
      <sz val="11"/>
      <color indexed="56"/>
      <name val="Calibri"/>
      <family val="2"/>
    </font>
    <font>
      <b/>
      <i/>
      <sz val="11"/>
      <color indexed="56"/>
      <name val="Calibri"/>
      <family val="2"/>
    </font>
    <font>
      <b/>
      <sz val="11"/>
      <color indexed="17"/>
      <name val="Calibri"/>
      <family val="2"/>
    </font>
    <font>
      <sz val="8"/>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2060"/>
      <name val="Calibri"/>
      <family val="2"/>
    </font>
    <font>
      <sz val="10"/>
      <color theme="1"/>
      <name val="Arial"/>
      <family val="2"/>
    </font>
    <font>
      <b/>
      <sz val="10"/>
      <color theme="0"/>
      <name val="Arial"/>
      <family val="2"/>
    </font>
    <font>
      <sz val="8"/>
      <color rgb="FF222222"/>
      <name val="Arial"/>
      <family val="2"/>
    </font>
    <font>
      <sz val="8"/>
      <color rgb="FF000080"/>
      <name val="Arial"/>
      <family val="2"/>
    </font>
    <font>
      <sz val="10"/>
      <color rgb="FFFF0000"/>
      <name val="Arial"/>
      <family val="2"/>
    </font>
    <font>
      <sz val="8"/>
      <color rgb="FFFF0000"/>
      <name val="Arial"/>
      <family val="2"/>
    </font>
    <font>
      <sz val="10"/>
      <color rgb="FF3F3F76"/>
      <name val="Arial"/>
      <family val="2"/>
    </font>
    <font>
      <b/>
      <sz val="10"/>
      <color rgb="FF006100"/>
      <name val="Arial"/>
      <family val="2"/>
    </font>
    <font>
      <sz val="10"/>
      <color rgb="FF006100"/>
      <name val="Arial"/>
      <family val="2"/>
    </font>
    <font>
      <b/>
      <sz val="10"/>
      <color rgb="FF9C6500"/>
      <name val="Arial"/>
      <family val="2"/>
    </font>
    <font>
      <sz val="10"/>
      <color rgb="FF9C6500"/>
      <name val="Arial"/>
      <family val="2"/>
    </font>
    <font>
      <b/>
      <sz val="10"/>
      <color rgb="FF3F3F76"/>
      <name val="Arial"/>
      <family val="2"/>
    </font>
    <font>
      <sz val="10"/>
      <color theme="3" tint="-0.24997000396251678"/>
      <name val="Arial"/>
      <family val="2"/>
    </font>
    <font>
      <sz val="8"/>
      <color theme="1"/>
      <name val="Calibri"/>
      <family val="2"/>
    </font>
    <font>
      <sz val="11"/>
      <color theme="3" tint="-0.24997000396251678"/>
      <name val="Calibri"/>
      <family val="2"/>
    </font>
    <font>
      <b/>
      <sz val="10"/>
      <color theme="3" tint="-0.24997000396251678"/>
      <name val="Arial"/>
      <family val="2"/>
    </font>
    <font>
      <b/>
      <sz val="11"/>
      <color rgb="FF3F3F76"/>
      <name val="Calibri"/>
      <family val="2"/>
    </font>
    <font>
      <sz val="11"/>
      <color rgb="FF002060"/>
      <name val="Calibri"/>
      <family val="2"/>
    </font>
    <font>
      <b/>
      <i/>
      <sz val="11"/>
      <color rgb="FF002060"/>
      <name val="Calibri"/>
      <family val="2"/>
    </font>
    <font>
      <b/>
      <sz val="11"/>
      <color theme="3" tint="-0.24997000396251678"/>
      <name val="Calibri"/>
      <family val="0"/>
    </font>
    <font>
      <b/>
      <sz val="11"/>
      <color rgb="FF006100"/>
      <name val="Calibri"/>
      <family val="2"/>
    </font>
    <font>
      <sz val="8"/>
      <color theme="0"/>
      <name val="Calibri"/>
      <family val="2"/>
    </font>
    <font>
      <b/>
      <sz val="8"/>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4" tint="0.7999799847602844"/>
        <bgColor indexed="64"/>
      </patternFill>
    </fill>
    <fill>
      <patternFill patternType="solid">
        <fgColor theme="3"/>
        <bgColor indexed="64"/>
      </patternFill>
    </fill>
    <fill>
      <patternFill patternType="solid">
        <fgColor theme="0"/>
        <bgColor indexed="64"/>
      </patternFill>
    </fill>
    <fill>
      <patternFill patternType="solid">
        <fgColor theme="3" tint="0.7999799847602844"/>
        <bgColor indexed="64"/>
      </patternFill>
    </fill>
    <fill>
      <patternFill patternType="solid">
        <fgColor rgb="FFFFFF00"/>
        <bgColor indexed="64"/>
      </patternFill>
    </fill>
    <fill>
      <patternFill patternType="solid">
        <fgColor rgb="FFFFFF00"/>
        <bgColor indexed="64"/>
      </patternFill>
    </fill>
    <fill>
      <patternFill patternType="solid">
        <fgColor theme="3" tint="0.39998000860214233"/>
        <bgColor indexed="64"/>
      </patternFill>
    </fill>
    <fill>
      <patternFill patternType="solid">
        <fgColor theme="9" tint="0.5999900102615356"/>
        <bgColor indexed="64"/>
      </patternFill>
    </fill>
    <fill>
      <patternFill patternType="solid">
        <fgColor theme="3"/>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theme="4"/>
      </left>
      <right>
        <color indexed="63"/>
      </right>
      <top style="thin">
        <color theme="4"/>
      </top>
      <bottom>
        <color indexed="63"/>
      </bottom>
    </border>
    <border>
      <left style="thin">
        <color theme="4"/>
      </left>
      <right style="thin">
        <color theme="4"/>
      </right>
      <top style="thin">
        <color theme="4"/>
      </top>
      <bottom>
        <color indexed="63"/>
      </bottom>
    </border>
    <border>
      <left style="thin">
        <color rgb="FF7F7F7F"/>
      </left>
      <right style="thin">
        <color rgb="FF7F7F7F"/>
      </right>
      <top>
        <color indexed="63"/>
      </top>
      <bottom>
        <color indexed="63"/>
      </bottom>
    </border>
    <border>
      <left style="thin">
        <color theme="4"/>
      </left>
      <right>
        <color indexed="63"/>
      </right>
      <top style="thin">
        <color theme="4"/>
      </top>
      <bottom style="thin">
        <color theme="4"/>
      </bottom>
    </border>
    <border>
      <left style="thin">
        <color theme="4"/>
      </left>
      <right style="thin">
        <color theme="4"/>
      </right>
      <top style="thin">
        <color theme="4"/>
      </top>
      <bottom style="thin">
        <color theme="4"/>
      </bottom>
    </border>
    <border>
      <left style="thin">
        <color rgb="FF7F7F7F"/>
      </left>
      <right>
        <color indexed="63"/>
      </right>
      <top style="thin">
        <color rgb="FF7F7F7F"/>
      </top>
      <bottom style="thin">
        <color rgb="FF7F7F7F"/>
      </bottom>
    </border>
    <border>
      <left>
        <color indexed="63"/>
      </left>
      <right>
        <color indexed="63"/>
      </right>
      <top style="thin">
        <color rgb="FF7F7F7F"/>
      </top>
      <bottom style="thin">
        <color rgb="FF7F7F7F"/>
      </bottom>
    </border>
    <border>
      <left>
        <color indexed="63"/>
      </left>
      <right style="thin">
        <color rgb="FF7F7F7F"/>
      </right>
      <top style="thin">
        <color rgb="FF7F7F7F"/>
      </top>
      <bottom style="thin">
        <color rgb="FF7F7F7F"/>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5" fillId="0" borderId="0" applyNumberFormat="0" applyFill="0" applyBorder="0" applyAlignment="0" applyProtection="0"/>
    <xf numFmtId="0" fontId="4"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409">
    <xf numFmtId="0" fontId="0" fillId="0" borderId="0" xfId="0" applyAlignment="1">
      <alignment/>
    </xf>
    <xf numFmtId="0" fontId="2" fillId="0" borderId="0" xfId="0" applyFont="1" applyAlignment="1">
      <alignment/>
    </xf>
    <xf numFmtId="0" fontId="0" fillId="0" borderId="0" xfId="0" applyFont="1" applyAlignment="1">
      <alignment/>
    </xf>
    <xf numFmtId="171" fontId="0" fillId="0" borderId="0" xfId="0" applyNumberFormat="1" applyAlignment="1">
      <alignment/>
    </xf>
    <xf numFmtId="0" fontId="0" fillId="0" borderId="0" xfId="0" applyFill="1" applyAlignment="1">
      <alignment/>
    </xf>
    <xf numFmtId="0" fontId="60" fillId="30" borderId="1" xfId="55" applyAlignment="1">
      <alignment/>
    </xf>
    <xf numFmtId="0" fontId="56" fillId="29" borderId="1" xfId="49" applyBorder="1" applyAlignment="1">
      <alignment/>
    </xf>
    <xf numFmtId="9" fontId="67" fillId="29" borderId="1" xfId="49" applyNumberFormat="1" applyFont="1" applyBorder="1" applyAlignment="1">
      <alignment/>
    </xf>
    <xf numFmtId="0" fontId="0" fillId="0" borderId="0" xfId="0" applyFill="1" applyAlignment="1">
      <alignment vertical="top"/>
    </xf>
    <xf numFmtId="10" fontId="67" fillId="29" borderId="1" xfId="49" applyNumberFormat="1" applyFont="1" applyBorder="1" applyAlignment="1">
      <alignment/>
    </xf>
    <xf numFmtId="188" fontId="0" fillId="0" borderId="0" xfId="0" applyNumberFormat="1" applyAlignment="1">
      <alignment/>
    </xf>
    <xf numFmtId="188" fontId="2" fillId="0" borderId="0" xfId="0" applyNumberFormat="1" applyFont="1" applyAlignment="1">
      <alignment/>
    </xf>
    <xf numFmtId="184" fontId="0" fillId="0" borderId="0" xfId="0" applyNumberFormat="1" applyAlignment="1">
      <alignment/>
    </xf>
    <xf numFmtId="1" fontId="60" fillId="30" borderId="1" xfId="55" applyNumberFormat="1" applyAlignment="1">
      <alignment horizontal="center"/>
    </xf>
    <xf numFmtId="187" fontId="68" fillId="0" borderId="10" xfId="0" applyNumberFormat="1" applyFont="1" applyBorder="1" applyAlignment="1">
      <alignment/>
    </xf>
    <xf numFmtId="9" fontId="68" fillId="0" borderId="11" xfId="61" applyNumberFormat="1" applyFont="1" applyBorder="1" applyAlignment="1">
      <alignment/>
    </xf>
    <xf numFmtId="0" fontId="68" fillId="33" borderId="10" xfId="0" applyFont="1" applyFill="1" applyBorder="1" applyAlignment="1">
      <alignment/>
    </xf>
    <xf numFmtId="186" fontId="68" fillId="33" borderId="10" xfId="0" applyNumberFormat="1" applyFont="1" applyFill="1" applyBorder="1" applyAlignment="1">
      <alignment/>
    </xf>
    <xf numFmtId="0" fontId="69" fillId="34" borderId="10" xfId="0" applyFont="1" applyFill="1" applyBorder="1" applyAlignment="1">
      <alignment/>
    </xf>
    <xf numFmtId="0" fontId="0" fillId="35" borderId="0" xfId="0" applyFill="1" applyAlignment="1">
      <alignment/>
    </xf>
    <xf numFmtId="0" fontId="0" fillId="0" borderId="0" xfId="0" applyAlignment="1">
      <alignment horizontal="center" vertical="center"/>
    </xf>
    <xf numFmtId="0" fontId="0" fillId="22" borderId="0" xfId="0" applyFill="1" applyAlignment="1">
      <alignment/>
    </xf>
    <xf numFmtId="0" fontId="0" fillId="0" borderId="0" xfId="58">
      <alignment/>
      <protection/>
    </xf>
    <xf numFmtId="0" fontId="0" fillId="0" borderId="0" xfId="0" applyFont="1" applyFill="1" applyBorder="1" applyAlignment="1">
      <alignment/>
    </xf>
    <xf numFmtId="3" fontId="0" fillId="0" borderId="0" xfId="0" applyNumberFormat="1" applyAlignment="1">
      <alignment/>
    </xf>
    <xf numFmtId="182" fontId="0" fillId="0" borderId="0" xfId="0" applyNumberFormat="1" applyAlignment="1">
      <alignment/>
    </xf>
    <xf numFmtId="0" fontId="52" fillId="26" borderId="1" xfId="39" applyBorder="1" applyAlignment="1">
      <alignment horizontal="center" vertical="center"/>
    </xf>
    <xf numFmtId="0" fontId="62" fillId="31" borderId="1" xfId="57" applyBorder="1" applyAlignment="1">
      <alignment horizontal="center" vertical="center"/>
    </xf>
    <xf numFmtId="180" fontId="62" fillId="31" borderId="1" xfId="57" applyNumberFormat="1" applyBorder="1" applyAlignment="1">
      <alignment horizontal="center" vertical="center"/>
    </xf>
    <xf numFmtId="190" fontId="0" fillId="0" borderId="0" xfId="0" applyNumberFormat="1" applyFill="1" applyAlignment="1">
      <alignment/>
    </xf>
    <xf numFmtId="0" fontId="6" fillId="21" borderId="0" xfId="0" applyFont="1" applyFill="1" applyBorder="1" applyAlignment="1">
      <alignment horizontal="left"/>
    </xf>
    <xf numFmtId="1" fontId="0" fillId="0" borderId="0" xfId="0" applyNumberFormat="1" applyAlignment="1">
      <alignment/>
    </xf>
    <xf numFmtId="188" fontId="52" fillId="26" borderId="1" xfId="39" applyNumberFormat="1" applyBorder="1" applyAlignment="1">
      <alignment horizontal="center" vertical="center"/>
    </xf>
    <xf numFmtId="188" fontId="56" fillId="29" borderId="1" xfId="49" applyNumberFormat="1" applyBorder="1" applyAlignment="1">
      <alignment/>
    </xf>
    <xf numFmtId="0" fontId="70" fillId="0" borderId="0" xfId="0" applyFont="1" applyAlignment="1">
      <alignment vertical="center" wrapText="1"/>
    </xf>
    <xf numFmtId="182" fontId="60" fillId="36" borderId="1" xfId="55" applyNumberFormat="1" applyFill="1" applyAlignment="1">
      <alignment horizontal="right"/>
    </xf>
    <xf numFmtId="9" fontId="60" fillId="36" borderId="1" xfId="55" applyNumberFormat="1" applyFill="1" applyAlignment="1">
      <alignment/>
    </xf>
    <xf numFmtId="185" fontId="60" fillId="36" borderId="1" xfId="55" applyNumberFormat="1" applyFill="1" applyAlignment="1">
      <alignment/>
    </xf>
    <xf numFmtId="180" fontId="60" fillId="36" borderId="1" xfId="55" applyNumberFormat="1" applyFill="1" applyAlignment="1">
      <alignment/>
    </xf>
    <xf numFmtId="180" fontId="60" fillId="36" borderId="1" xfId="61" applyNumberFormat="1" applyFont="1" applyFill="1" applyBorder="1" applyAlignment="1">
      <alignment/>
    </xf>
    <xf numFmtId="0" fontId="71" fillId="0" borderId="0" xfId="0" applyFont="1" applyAlignment="1">
      <alignment/>
    </xf>
    <xf numFmtId="0" fontId="7" fillId="0" borderId="0" xfId="0" applyFont="1" applyAlignment="1">
      <alignment/>
    </xf>
    <xf numFmtId="0" fontId="2" fillId="37" borderId="10" xfId="0" applyFont="1" applyFill="1" applyBorder="1" applyAlignment="1">
      <alignment/>
    </xf>
    <xf numFmtId="0" fontId="0" fillId="0" borderId="0" xfId="0" applyAlignment="1">
      <alignment vertical="top"/>
    </xf>
    <xf numFmtId="0" fontId="72" fillId="0" borderId="0" xfId="0" applyFont="1" applyAlignment="1">
      <alignment/>
    </xf>
    <xf numFmtId="0" fontId="72" fillId="0" borderId="0" xfId="0" applyFont="1" applyFill="1" applyAlignment="1">
      <alignment/>
    </xf>
    <xf numFmtId="0" fontId="72" fillId="0" borderId="0" xfId="0" applyFont="1" applyFill="1" applyAlignment="1">
      <alignment vertical="top"/>
    </xf>
    <xf numFmtId="0" fontId="73" fillId="0" borderId="0" xfId="0" applyFont="1" applyAlignment="1">
      <alignment/>
    </xf>
    <xf numFmtId="0" fontId="0" fillId="0" borderId="0" xfId="0" applyFill="1" applyBorder="1" applyAlignment="1">
      <alignment/>
    </xf>
    <xf numFmtId="1" fontId="0" fillId="0" borderId="0" xfId="0" applyNumberFormat="1" applyFill="1" applyBorder="1" applyAlignment="1">
      <alignment/>
    </xf>
    <xf numFmtId="1" fontId="0" fillId="0" borderId="0" xfId="61" applyNumberFormat="1" applyFont="1" applyFill="1" applyBorder="1" applyAlignment="1">
      <alignment/>
    </xf>
    <xf numFmtId="0" fontId="54" fillId="0" borderId="0" xfId="34" applyFont="1" applyFill="1" applyBorder="1" applyAlignment="1">
      <alignment vertical="top"/>
    </xf>
    <xf numFmtId="1" fontId="60" fillId="0" borderId="0" xfId="61" applyNumberFormat="1" applyFont="1" applyFill="1" applyBorder="1" applyAlignment="1">
      <alignment vertical="top"/>
    </xf>
    <xf numFmtId="0" fontId="60" fillId="0" borderId="0" xfId="55" applyFill="1" applyBorder="1" applyAlignment="1">
      <alignment vertical="top"/>
    </xf>
    <xf numFmtId="10" fontId="0" fillId="0" borderId="0" xfId="0" applyNumberFormat="1" applyFill="1" applyAlignment="1">
      <alignment vertical="top"/>
    </xf>
    <xf numFmtId="0" fontId="3" fillId="0" borderId="0" xfId="0" applyFont="1" applyAlignment="1">
      <alignment vertical="top"/>
    </xf>
    <xf numFmtId="0" fontId="0" fillId="0" borderId="0" xfId="0" applyFont="1" applyAlignment="1">
      <alignment vertical="top"/>
    </xf>
    <xf numFmtId="3" fontId="0" fillId="0" borderId="0" xfId="0" applyNumberFormat="1" applyAlignment="1">
      <alignment vertical="top"/>
    </xf>
    <xf numFmtId="0" fontId="5" fillId="0" borderId="0" xfId="0" applyFont="1" applyAlignment="1">
      <alignment vertical="top"/>
    </xf>
    <xf numFmtId="182" fontId="73" fillId="35" borderId="0" xfId="44" applyNumberFormat="1" applyFont="1" applyFill="1" applyAlignment="1">
      <alignment vertical="top"/>
    </xf>
    <xf numFmtId="185" fontId="0" fillId="0" borderId="0" xfId="0" applyNumberFormat="1" applyAlignment="1">
      <alignment vertical="top"/>
    </xf>
    <xf numFmtId="9" fontId="5" fillId="0" borderId="0" xfId="61" applyFont="1" applyAlignment="1">
      <alignment vertical="top"/>
    </xf>
    <xf numFmtId="0" fontId="2" fillId="0" borderId="0" xfId="0" applyFont="1" applyFill="1" applyAlignment="1">
      <alignment vertical="top"/>
    </xf>
    <xf numFmtId="0" fontId="62" fillId="31" borderId="1" xfId="57" applyBorder="1" applyAlignment="1">
      <alignment/>
    </xf>
    <xf numFmtId="9" fontId="62" fillId="31" borderId="1" xfId="57" applyNumberFormat="1" applyBorder="1" applyAlignment="1">
      <alignment/>
    </xf>
    <xf numFmtId="187" fontId="62" fillId="31" borderId="1" xfId="57" applyNumberFormat="1" applyBorder="1" applyAlignment="1">
      <alignment/>
    </xf>
    <xf numFmtId="10" fontId="62" fillId="31" borderId="1" xfId="57" applyNumberFormat="1" applyBorder="1" applyAlignment="1">
      <alignment/>
    </xf>
    <xf numFmtId="167" fontId="62" fillId="31" borderId="1" xfId="57" applyNumberFormat="1" applyBorder="1" applyAlignment="1">
      <alignment/>
    </xf>
    <xf numFmtId="0" fontId="74" fillId="30" borderId="1" xfId="55" applyFont="1" applyAlignment="1">
      <alignment/>
    </xf>
    <xf numFmtId="0" fontId="75" fillId="29" borderId="1" xfId="49" applyFont="1" applyBorder="1" applyAlignment="1">
      <alignment/>
    </xf>
    <xf numFmtId="0" fontId="76" fillId="29" borderId="1" xfId="49" applyFont="1" applyBorder="1" applyAlignment="1">
      <alignment/>
    </xf>
    <xf numFmtId="1" fontId="76" fillId="29" borderId="1" xfId="49" applyNumberFormat="1" applyFont="1" applyBorder="1" applyAlignment="1">
      <alignment/>
    </xf>
    <xf numFmtId="0" fontId="76" fillId="29" borderId="1" xfId="49" applyFont="1" applyBorder="1" applyAlignment="1">
      <alignment wrapText="1"/>
    </xf>
    <xf numFmtId="0" fontId="8" fillId="0" borderId="0" xfId="58" applyFont="1">
      <alignment/>
      <protection/>
    </xf>
    <xf numFmtId="0" fontId="0" fillId="0" borderId="0" xfId="58" applyFont="1">
      <alignment/>
      <protection/>
    </xf>
    <xf numFmtId="0" fontId="77" fillId="31" borderId="1" xfId="57" applyFont="1" applyBorder="1" applyAlignment="1">
      <alignment/>
    </xf>
    <xf numFmtId="0" fontId="78" fillId="31" borderId="1" xfId="57" applyFont="1" applyBorder="1" applyAlignment="1">
      <alignment/>
    </xf>
    <xf numFmtId="0" fontId="0" fillId="0" borderId="0" xfId="0" applyFont="1" applyFill="1" applyAlignment="1">
      <alignment/>
    </xf>
    <xf numFmtId="0" fontId="0" fillId="21" borderId="0" xfId="0" applyFont="1" applyFill="1" applyAlignment="1">
      <alignment/>
    </xf>
    <xf numFmtId="0" fontId="0" fillId="21" borderId="0" xfId="0" applyFont="1" applyFill="1" applyBorder="1" applyAlignment="1">
      <alignment/>
    </xf>
    <xf numFmtId="0" fontId="0" fillId="0" borderId="0" xfId="0" applyFont="1" applyFill="1" applyAlignment="1">
      <alignment/>
    </xf>
    <xf numFmtId="0" fontId="78" fillId="31" borderId="0" xfId="57" applyFont="1" applyAlignment="1">
      <alignment/>
    </xf>
    <xf numFmtId="0" fontId="0" fillId="0" borderId="0" xfId="0" applyFont="1" applyAlignment="1">
      <alignment/>
    </xf>
    <xf numFmtId="0" fontId="75" fillId="29" borderId="0" xfId="49" applyFont="1" applyAlignment="1">
      <alignment/>
    </xf>
    <xf numFmtId="180" fontId="75" fillId="29" borderId="0" xfId="49" applyNumberFormat="1" applyFont="1" applyAlignment="1">
      <alignment/>
    </xf>
    <xf numFmtId="3" fontId="74" fillId="36" borderId="1" xfId="55" applyNumberFormat="1" applyFont="1" applyFill="1" applyAlignment="1">
      <alignment/>
    </xf>
    <xf numFmtId="10" fontId="74" fillId="36" borderId="1" xfId="55" applyNumberFormat="1" applyFont="1" applyFill="1" applyAlignment="1">
      <alignment/>
    </xf>
    <xf numFmtId="9" fontId="79" fillId="38" borderId="1" xfId="61" applyFont="1" applyFill="1" applyBorder="1" applyAlignment="1">
      <alignment/>
    </xf>
    <xf numFmtId="185" fontId="74" fillId="36" borderId="1" xfId="45" applyNumberFormat="1" applyFont="1" applyFill="1" applyBorder="1" applyAlignment="1">
      <alignment/>
    </xf>
    <xf numFmtId="180" fontId="74" fillId="36" borderId="1" xfId="55" applyNumberFormat="1" applyFont="1" applyFill="1" applyAlignment="1">
      <alignment/>
    </xf>
    <xf numFmtId="0" fontId="74" fillId="39" borderId="1" xfId="55" applyFont="1" applyFill="1" applyAlignment="1">
      <alignment/>
    </xf>
    <xf numFmtId="185" fontId="74" fillId="39" borderId="1" xfId="55" applyNumberFormat="1" applyFont="1" applyFill="1" applyAlignment="1">
      <alignment/>
    </xf>
    <xf numFmtId="9" fontId="80" fillId="38" borderId="1" xfId="55" applyNumberFormat="1" applyFont="1" applyFill="1" applyAlignment="1">
      <alignment/>
    </xf>
    <xf numFmtId="185" fontId="80" fillId="38" borderId="1" xfId="55" applyNumberFormat="1" applyFont="1" applyFill="1" applyAlignment="1">
      <alignment/>
    </xf>
    <xf numFmtId="0" fontId="77" fillId="31" borderId="1" xfId="57" applyFont="1" applyBorder="1" applyAlignment="1">
      <alignment vertical="top"/>
    </xf>
    <xf numFmtId="0" fontId="78" fillId="31" borderId="1" xfId="57" applyFont="1" applyBorder="1" applyAlignment="1">
      <alignment vertical="top"/>
    </xf>
    <xf numFmtId="0" fontId="78" fillId="31" borderId="1" xfId="57" applyFont="1" applyBorder="1" applyAlignment="1">
      <alignment horizontal="left" vertical="center" wrapText="1"/>
    </xf>
    <xf numFmtId="0" fontId="62" fillId="0" borderId="0" xfId="57" applyFill="1" applyAlignment="1">
      <alignment/>
    </xf>
    <xf numFmtId="0" fontId="66" fillId="0" borderId="0" xfId="57" applyFont="1" applyFill="1" applyAlignment="1">
      <alignment/>
    </xf>
    <xf numFmtId="0" fontId="3" fillId="0" borderId="0" xfId="0" applyFont="1" applyAlignment="1" applyProtection="1">
      <alignment vertical="top"/>
      <protection locked="0"/>
    </xf>
    <xf numFmtId="0" fontId="81" fillId="0" borderId="0" xfId="0" applyFont="1" applyAlignment="1" applyProtection="1">
      <alignment vertical="top"/>
      <protection locked="0"/>
    </xf>
    <xf numFmtId="0" fontId="73" fillId="0" borderId="0" xfId="0" applyFont="1" applyAlignment="1" applyProtection="1">
      <alignment vertical="top"/>
      <protection locked="0"/>
    </xf>
    <xf numFmtId="0" fontId="0" fillId="0" borderId="0" xfId="0" applyAlignment="1" applyProtection="1">
      <alignment/>
      <protection locked="0"/>
    </xf>
    <xf numFmtId="0" fontId="72" fillId="0" borderId="0" xfId="0" applyFont="1" applyAlignment="1" applyProtection="1">
      <alignment/>
      <protection locked="0"/>
    </xf>
    <xf numFmtId="0" fontId="0" fillId="0" borderId="0" xfId="0" applyFont="1" applyAlignment="1" applyProtection="1">
      <alignment/>
      <protection locked="0"/>
    </xf>
    <xf numFmtId="10" fontId="0" fillId="0" borderId="0" xfId="61" applyNumberFormat="1" applyFont="1" applyAlignment="1" applyProtection="1">
      <alignment/>
      <protection locked="0"/>
    </xf>
    <xf numFmtId="0" fontId="2" fillId="0" borderId="0" xfId="0" applyFont="1" applyAlignment="1" applyProtection="1">
      <alignment/>
      <protection locked="0"/>
    </xf>
    <xf numFmtId="0" fontId="72" fillId="0" borderId="0" xfId="0" applyFont="1" applyFill="1" applyAlignment="1" applyProtection="1">
      <alignment vertical="top"/>
      <protection locked="0"/>
    </xf>
    <xf numFmtId="0" fontId="0" fillId="0" borderId="0" xfId="0" applyFill="1" applyAlignment="1" applyProtection="1">
      <alignment vertical="top"/>
      <protection locked="0"/>
    </xf>
    <xf numFmtId="182" fontId="76" fillId="29" borderId="1" xfId="49" applyNumberFormat="1" applyFont="1" applyBorder="1" applyAlignment="1" applyProtection="1">
      <alignment/>
      <protection/>
    </xf>
    <xf numFmtId="9" fontId="78" fillId="31" borderId="1" xfId="57" applyNumberFormat="1" applyFont="1" applyBorder="1" applyAlignment="1" applyProtection="1">
      <alignment vertical="top"/>
      <protection/>
    </xf>
    <xf numFmtId="0" fontId="0" fillId="0" borderId="0" xfId="0" applyAlignment="1" applyProtection="1">
      <alignment/>
      <protection/>
    </xf>
    <xf numFmtId="10" fontId="78" fillId="38" borderId="1" xfId="57" applyNumberFormat="1" applyFont="1" applyFill="1" applyBorder="1" applyAlignment="1" applyProtection="1">
      <alignment vertical="top"/>
      <protection/>
    </xf>
    <xf numFmtId="0" fontId="62" fillId="31" borderId="1" xfId="57" applyBorder="1" applyAlignment="1">
      <alignment wrapText="1"/>
    </xf>
    <xf numFmtId="180" fontId="80" fillId="38" borderId="1" xfId="55" applyNumberFormat="1" applyFont="1" applyFill="1" applyAlignment="1" applyProtection="1">
      <alignment vertical="top"/>
      <protection/>
    </xf>
    <xf numFmtId="182" fontId="80" fillId="38" borderId="1" xfId="55" applyNumberFormat="1" applyFont="1" applyFill="1" applyAlignment="1" applyProtection="1">
      <alignment vertical="top"/>
      <protection/>
    </xf>
    <xf numFmtId="185" fontId="80" fillId="38" borderId="1" xfId="55" applyNumberFormat="1" applyFont="1" applyFill="1" applyAlignment="1" applyProtection="1">
      <alignment vertical="top"/>
      <protection/>
    </xf>
    <xf numFmtId="9" fontId="80" fillId="38" borderId="1" xfId="55" applyNumberFormat="1" applyFont="1" applyFill="1" applyAlignment="1" applyProtection="1">
      <alignment horizontal="right" vertical="top"/>
      <protection/>
    </xf>
    <xf numFmtId="185" fontId="80" fillId="25" borderId="1" xfId="55" applyNumberFormat="1" applyFont="1" applyFill="1" applyAlignment="1" applyProtection="1">
      <alignment vertical="top"/>
      <protection/>
    </xf>
    <xf numFmtId="9" fontId="80" fillId="38" borderId="1" xfId="55" applyNumberFormat="1" applyFont="1" applyFill="1" applyAlignment="1" applyProtection="1">
      <alignment vertical="top"/>
      <protection/>
    </xf>
    <xf numFmtId="9" fontId="80" fillId="38" borderId="1" xfId="61" applyFont="1" applyFill="1" applyBorder="1" applyAlignment="1" applyProtection="1">
      <alignment vertical="top"/>
      <protection/>
    </xf>
    <xf numFmtId="9" fontId="80" fillId="25" borderId="1" xfId="57" applyNumberFormat="1" applyFont="1" applyFill="1" applyBorder="1" applyAlignment="1" applyProtection="1">
      <alignment vertical="top"/>
      <protection/>
    </xf>
    <xf numFmtId="3" fontId="80" fillId="38" borderId="1" xfId="55" applyNumberFormat="1" applyFont="1" applyFill="1" applyAlignment="1" applyProtection="1">
      <alignment/>
      <protection/>
    </xf>
    <xf numFmtId="182" fontId="80" fillId="38" borderId="1" xfId="55" applyNumberFormat="1" applyFont="1" applyFill="1" applyAlignment="1" applyProtection="1">
      <alignment horizontal="centerContinuous"/>
      <protection/>
    </xf>
    <xf numFmtId="182" fontId="80" fillId="38" borderId="1" xfId="55" applyNumberFormat="1" applyFont="1" applyFill="1" applyAlignment="1" applyProtection="1">
      <alignment/>
      <protection/>
    </xf>
    <xf numFmtId="10" fontId="80" fillId="38" borderId="1" xfId="55" applyNumberFormat="1" applyFont="1" applyFill="1" applyAlignment="1" applyProtection="1">
      <alignment/>
      <protection/>
    </xf>
    <xf numFmtId="182" fontId="80" fillId="38" borderId="1" xfId="55" applyNumberFormat="1" applyFont="1" applyFill="1" applyAlignment="1" applyProtection="1">
      <alignment/>
      <protection/>
    </xf>
    <xf numFmtId="182" fontId="80" fillId="25" borderId="1" xfId="55" applyNumberFormat="1" applyFont="1" applyFill="1" applyAlignment="1" applyProtection="1">
      <alignment/>
      <protection/>
    </xf>
    <xf numFmtId="9" fontId="80" fillId="25" borderId="1" xfId="61" applyFont="1" applyFill="1" applyBorder="1" applyAlignment="1" applyProtection="1">
      <alignment vertical="top"/>
      <protection/>
    </xf>
    <xf numFmtId="9" fontId="80" fillId="25" borderId="1" xfId="55" applyNumberFormat="1" applyFont="1" applyFill="1" applyAlignment="1" applyProtection="1">
      <alignment vertical="top"/>
      <protection/>
    </xf>
    <xf numFmtId="2" fontId="80" fillId="38" borderId="1" xfId="55" applyNumberFormat="1" applyFont="1" applyFill="1" applyAlignment="1">
      <alignment/>
    </xf>
    <xf numFmtId="9" fontId="80" fillId="38" borderId="1" xfId="55" applyNumberFormat="1" applyFont="1" applyFill="1" applyAlignment="1">
      <alignment horizontal="right"/>
    </xf>
    <xf numFmtId="165" fontId="80" fillId="36" borderId="1" xfId="55" applyNumberFormat="1" applyFont="1" applyFill="1" applyAlignment="1">
      <alignment/>
    </xf>
    <xf numFmtId="9" fontId="80" fillId="36" borderId="1" xfId="55" applyNumberFormat="1" applyFont="1" applyFill="1" applyAlignment="1">
      <alignment/>
    </xf>
    <xf numFmtId="182" fontId="80" fillId="36" borderId="1" xfId="42" applyNumberFormat="1" applyFont="1" applyFill="1" applyBorder="1" applyAlignment="1">
      <alignment/>
    </xf>
    <xf numFmtId="0" fontId="80" fillId="36" borderId="1" xfId="55" applyFont="1" applyFill="1" applyAlignment="1">
      <alignment/>
    </xf>
    <xf numFmtId="9" fontId="80" fillId="36" borderId="1" xfId="61" applyFont="1" applyFill="1" applyBorder="1" applyAlignment="1">
      <alignment/>
    </xf>
    <xf numFmtId="185" fontId="80" fillId="36" borderId="1" xfId="55" applyNumberFormat="1" applyFont="1" applyFill="1" applyAlignment="1">
      <alignment/>
    </xf>
    <xf numFmtId="182" fontId="79" fillId="25" borderId="1" xfId="55" applyNumberFormat="1" applyFont="1" applyFill="1" applyAlignment="1">
      <alignment/>
    </xf>
    <xf numFmtId="0" fontId="79" fillId="13" borderId="1" xfId="55" applyFont="1" applyFill="1" applyAlignment="1">
      <alignment vertical="top"/>
    </xf>
    <xf numFmtId="0" fontId="80" fillId="13" borderId="1" xfId="55" applyFont="1" applyFill="1" applyAlignment="1">
      <alignment horizontal="left" vertical="top" wrapText="1"/>
    </xf>
    <xf numFmtId="1" fontId="80" fillId="13" borderId="1" xfId="55" applyNumberFormat="1" applyFont="1" applyFill="1" applyAlignment="1">
      <alignment horizontal="left" vertical="top"/>
    </xf>
    <xf numFmtId="0" fontId="80" fillId="13" borderId="1" xfId="55" applyFont="1" applyFill="1" applyAlignment="1">
      <alignment vertical="top"/>
    </xf>
    <xf numFmtId="0" fontId="80" fillId="13" borderId="1" xfId="55" applyFont="1" applyFill="1" applyAlignment="1" applyProtection="1">
      <alignment vertical="top"/>
      <protection/>
    </xf>
    <xf numFmtId="171" fontId="80" fillId="13" borderId="1" xfId="55" applyNumberFormat="1" applyFont="1" applyFill="1" applyAlignment="1">
      <alignment vertical="top"/>
    </xf>
    <xf numFmtId="0" fontId="74" fillId="13" borderId="1" xfId="55" applyFont="1" applyFill="1" applyAlignment="1" applyProtection="1">
      <alignment vertical="top"/>
      <protection/>
    </xf>
    <xf numFmtId="182" fontId="80" fillId="13" borderId="1" xfId="55" applyNumberFormat="1" applyFont="1" applyFill="1" applyAlignment="1" applyProtection="1">
      <alignment horizontal="centerContinuous" vertical="top"/>
      <protection/>
    </xf>
    <xf numFmtId="182" fontId="80" fillId="13" borderId="1" xfId="55" applyNumberFormat="1" applyFont="1" applyFill="1" applyAlignment="1" applyProtection="1">
      <alignment horizontal="right" vertical="top"/>
      <protection/>
    </xf>
    <xf numFmtId="185" fontId="80" fillId="13" borderId="1" xfId="55" applyNumberFormat="1" applyFont="1" applyFill="1" applyAlignment="1" applyProtection="1">
      <alignment horizontal="right" vertical="top"/>
      <protection/>
    </xf>
    <xf numFmtId="185" fontId="82" fillId="13" borderId="1" xfId="55" applyNumberFormat="1" applyFont="1" applyFill="1" applyAlignment="1" applyProtection="1">
      <alignment vertical="top"/>
      <protection/>
    </xf>
    <xf numFmtId="1" fontId="83" fillId="13" borderId="1" xfId="55" applyNumberFormat="1" applyFont="1" applyFill="1" applyAlignment="1">
      <alignment horizontal="left"/>
    </xf>
    <xf numFmtId="1" fontId="80" fillId="13" borderId="1" xfId="55" applyNumberFormat="1" applyFont="1" applyFill="1" applyAlignment="1">
      <alignment horizontal="left"/>
    </xf>
    <xf numFmtId="1" fontId="80" fillId="13" borderId="1" xfId="55" applyNumberFormat="1" applyFont="1" applyFill="1" applyAlignment="1">
      <alignment/>
    </xf>
    <xf numFmtId="1" fontId="83" fillId="13" borderId="1" xfId="55" applyNumberFormat="1" applyFont="1" applyFill="1" applyAlignment="1">
      <alignment/>
    </xf>
    <xf numFmtId="0" fontId="80" fillId="13" borderId="1" xfId="55" applyFont="1" applyFill="1" applyAlignment="1">
      <alignment/>
    </xf>
    <xf numFmtId="186" fontId="2" fillId="13" borderId="1" xfId="55" applyNumberFormat="1" applyFont="1" applyFill="1" applyAlignment="1">
      <alignment horizontal="centerContinuous"/>
    </xf>
    <xf numFmtId="182" fontId="80" fillId="13" borderId="1" xfId="55" applyNumberFormat="1" applyFont="1" applyFill="1" applyAlignment="1" applyProtection="1">
      <alignment/>
      <protection/>
    </xf>
    <xf numFmtId="10" fontId="80" fillId="13" borderId="1" xfId="55" applyNumberFormat="1" applyFont="1" applyFill="1" applyAlignment="1" applyProtection="1">
      <alignment/>
      <protection/>
    </xf>
    <xf numFmtId="0" fontId="79" fillId="13" borderId="1" xfId="55" applyFont="1" applyFill="1" applyAlignment="1">
      <alignment/>
    </xf>
    <xf numFmtId="0" fontId="80" fillId="13" borderId="1" xfId="55" applyFont="1" applyFill="1" applyAlignment="1">
      <alignment/>
    </xf>
    <xf numFmtId="0" fontId="80" fillId="40" borderId="1" xfId="0" applyFont="1" applyFill="1" applyBorder="1" applyAlignment="1">
      <alignment/>
    </xf>
    <xf numFmtId="182" fontId="83" fillId="13" borderId="1" xfId="55" applyNumberFormat="1" applyFont="1" applyFill="1" applyAlignment="1">
      <alignment/>
    </xf>
    <xf numFmtId="0" fontId="83" fillId="13" borderId="1" xfId="55" applyFont="1" applyFill="1" applyAlignment="1">
      <alignment vertical="top"/>
    </xf>
    <xf numFmtId="171" fontId="74" fillId="13" borderId="1" xfId="55" applyNumberFormat="1" applyFont="1" applyFill="1" applyAlignment="1">
      <alignment vertical="top"/>
    </xf>
    <xf numFmtId="0" fontId="80" fillId="13" borderId="1" xfId="55" applyFont="1" applyFill="1" applyAlignment="1" applyProtection="1">
      <alignment/>
      <protection/>
    </xf>
    <xf numFmtId="182" fontId="80" fillId="13" borderId="1" xfId="55" applyNumberFormat="1" applyFont="1" applyFill="1" applyAlignment="1">
      <alignment vertical="top"/>
    </xf>
    <xf numFmtId="180" fontId="80" fillId="13" borderId="1" xfId="55" applyNumberFormat="1" applyFont="1" applyFill="1" applyAlignment="1" applyProtection="1">
      <alignment vertical="top"/>
      <protection/>
    </xf>
    <xf numFmtId="182" fontId="74" fillId="13" borderId="1" xfId="55" applyNumberFormat="1" applyFont="1" applyFill="1" applyAlignment="1" applyProtection="1">
      <alignment vertical="top"/>
      <protection/>
    </xf>
    <xf numFmtId="9" fontId="80" fillId="13" borderId="1" xfId="55" applyNumberFormat="1" applyFont="1" applyFill="1" applyAlignment="1" applyProtection="1">
      <alignment vertical="top"/>
      <protection/>
    </xf>
    <xf numFmtId="0" fontId="84" fillId="13" borderId="1" xfId="55" applyFont="1" applyFill="1" applyAlignment="1">
      <alignment/>
    </xf>
    <xf numFmtId="0" fontId="84" fillId="13" borderId="1" xfId="55" applyFont="1" applyFill="1" applyAlignment="1">
      <alignment/>
    </xf>
    <xf numFmtId="1" fontId="60" fillId="13" borderId="1" xfId="55" applyNumberFormat="1" applyFill="1" applyAlignment="1">
      <alignment horizontal="center"/>
    </xf>
    <xf numFmtId="185" fontId="60" fillId="13" borderId="1" xfId="55" applyNumberFormat="1" applyFill="1" applyAlignment="1">
      <alignment/>
    </xf>
    <xf numFmtId="182" fontId="60" fillId="13" borderId="1" xfId="55" applyNumberFormat="1" applyFill="1" applyAlignment="1">
      <alignment horizontal="left" indent="4"/>
    </xf>
    <xf numFmtId="182" fontId="60" fillId="13" borderId="1" xfId="55" applyNumberFormat="1" applyFill="1" applyAlignment="1">
      <alignment horizontal="left" indent="9"/>
    </xf>
    <xf numFmtId="0" fontId="60" fillId="13" borderId="1" xfId="55" applyFill="1" applyAlignment="1">
      <alignment/>
    </xf>
    <xf numFmtId="0" fontId="60" fillId="13" borderId="1" xfId="55" applyFill="1" applyAlignment="1">
      <alignment/>
    </xf>
    <xf numFmtId="2" fontId="60" fillId="13" borderId="1" xfId="55" applyNumberFormat="1" applyFill="1" applyAlignment="1">
      <alignment/>
    </xf>
    <xf numFmtId="182" fontId="60" fillId="13" borderId="1" xfId="55" applyNumberFormat="1" applyFill="1" applyAlignment="1">
      <alignment/>
    </xf>
    <xf numFmtId="180" fontId="60" fillId="13" borderId="1" xfId="55" applyNumberFormat="1" applyFill="1" applyAlignment="1">
      <alignment/>
    </xf>
    <xf numFmtId="182" fontId="60" fillId="13" borderId="1" xfId="55" applyNumberFormat="1" applyFill="1" applyAlignment="1">
      <alignment/>
    </xf>
    <xf numFmtId="185" fontId="60" fillId="13" borderId="1" xfId="55" applyNumberFormat="1" applyFill="1" applyAlignment="1">
      <alignment/>
    </xf>
    <xf numFmtId="0" fontId="60" fillId="13" borderId="1" xfId="55" applyFill="1" applyAlignment="1">
      <alignment wrapText="1"/>
    </xf>
    <xf numFmtId="0" fontId="84" fillId="13" borderId="1" xfId="55" applyFont="1" applyFill="1" applyAlignment="1">
      <alignment vertical="center"/>
    </xf>
    <xf numFmtId="0" fontId="60" fillId="40" borderId="1" xfId="0" applyFont="1" applyFill="1" applyBorder="1" applyAlignment="1">
      <alignment/>
    </xf>
    <xf numFmtId="0" fontId="60" fillId="13" borderId="1" xfId="55" applyFill="1" applyAlignment="1">
      <alignment/>
    </xf>
    <xf numFmtId="184" fontId="82" fillId="13" borderId="1" xfId="33" applyNumberFormat="1" applyFont="1" applyFill="1" applyBorder="1" applyAlignment="1">
      <alignment/>
    </xf>
    <xf numFmtId="0" fontId="83" fillId="13" borderId="1" xfId="55" applyFont="1" applyFill="1" applyAlignment="1">
      <alignment horizontal="left"/>
    </xf>
    <xf numFmtId="185" fontId="80" fillId="13" borderId="1" xfId="55" applyNumberFormat="1" applyFont="1" applyFill="1" applyAlignment="1">
      <alignment/>
    </xf>
    <xf numFmtId="0" fontId="80" fillId="13" borderId="1" xfId="55" applyFont="1" applyFill="1" applyAlignment="1">
      <alignment horizontal="left"/>
    </xf>
    <xf numFmtId="185" fontId="83" fillId="13" borderId="1" xfId="55" applyNumberFormat="1" applyFont="1" applyFill="1" applyAlignment="1">
      <alignment/>
    </xf>
    <xf numFmtId="0" fontId="80" fillId="13" borderId="0" xfId="0" applyFont="1" applyFill="1" applyAlignment="1">
      <alignment/>
    </xf>
    <xf numFmtId="0" fontId="83" fillId="13" borderId="1" xfId="55" applyFont="1" applyFill="1" applyAlignment="1">
      <alignment/>
    </xf>
    <xf numFmtId="0" fontId="83" fillId="13" borderId="1" xfId="55" applyFont="1" applyFill="1" applyAlignment="1">
      <alignment/>
    </xf>
    <xf numFmtId="182" fontId="80" fillId="13" borderId="1" xfId="55" applyNumberFormat="1" applyFont="1" applyFill="1" applyAlignment="1">
      <alignment/>
    </xf>
    <xf numFmtId="0" fontId="80" fillId="13" borderId="1" xfId="55" applyNumberFormat="1" applyFont="1" applyFill="1" applyAlignment="1">
      <alignment horizontal="left"/>
    </xf>
    <xf numFmtId="0" fontId="80" fillId="13" borderId="1" xfId="55" applyFont="1" applyFill="1" applyAlignment="1">
      <alignment/>
    </xf>
    <xf numFmtId="0" fontId="80" fillId="13" borderId="1" xfId="55" applyFont="1" applyFill="1" applyAlignment="1">
      <alignment horizontal="justify" vertical="center" wrapText="1"/>
    </xf>
    <xf numFmtId="0" fontId="79" fillId="13" borderId="1" xfId="55" applyFont="1" applyFill="1" applyAlignment="1">
      <alignment/>
    </xf>
    <xf numFmtId="0" fontId="83" fillId="13" borderId="1" xfId="55" applyFont="1" applyFill="1" applyAlignment="1">
      <alignment/>
    </xf>
    <xf numFmtId="181" fontId="80" fillId="13" borderId="1" xfId="55" applyNumberFormat="1" applyFont="1" applyFill="1" applyAlignment="1">
      <alignment/>
    </xf>
    <xf numFmtId="1" fontId="80" fillId="13" borderId="1" xfId="55" applyNumberFormat="1" applyFont="1" applyFill="1" applyAlignment="1">
      <alignment/>
    </xf>
    <xf numFmtId="182" fontId="80" fillId="13" borderId="1" xfId="55" applyNumberFormat="1" applyFont="1" applyFill="1" applyAlignment="1">
      <alignment horizontal="right"/>
    </xf>
    <xf numFmtId="185" fontId="80" fillId="13" borderId="1" xfId="55" applyNumberFormat="1" applyFont="1" applyFill="1" applyAlignment="1">
      <alignment/>
    </xf>
    <xf numFmtId="171" fontId="80" fillId="13" borderId="1" xfId="42" applyFont="1" applyFill="1" applyBorder="1" applyAlignment="1">
      <alignment/>
    </xf>
    <xf numFmtId="9" fontId="80" fillId="13" borderId="1" xfId="61" applyFont="1" applyFill="1" applyBorder="1" applyAlignment="1">
      <alignment/>
    </xf>
    <xf numFmtId="182" fontId="80" fillId="13" borderId="1" xfId="42" applyNumberFormat="1" applyFont="1" applyFill="1" applyBorder="1" applyAlignment="1">
      <alignment/>
    </xf>
    <xf numFmtId="185" fontId="83" fillId="13" borderId="1" xfId="33" applyNumberFormat="1" applyFont="1" applyFill="1" applyBorder="1" applyAlignment="1">
      <alignment/>
    </xf>
    <xf numFmtId="0" fontId="74" fillId="13" borderId="1" xfId="55" applyFont="1" applyFill="1" applyAlignment="1">
      <alignment/>
    </xf>
    <xf numFmtId="9" fontId="79" fillId="13" borderId="1" xfId="55" applyNumberFormat="1" applyFont="1" applyFill="1" applyAlignment="1">
      <alignment horizontal="left"/>
    </xf>
    <xf numFmtId="0" fontId="79" fillId="13" borderId="1" xfId="42" applyNumberFormat="1" applyFont="1" applyFill="1" applyBorder="1" applyAlignment="1">
      <alignment/>
    </xf>
    <xf numFmtId="9" fontId="79" fillId="13" borderId="1" xfId="55" applyNumberFormat="1" applyFont="1" applyFill="1" applyAlignment="1">
      <alignment/>
    </xf>
    <xf numFmtId="182" fontId="74" fillId="13" borderId="1" xfId="55" applyNumberFormat="1" applyFont="1" applyFill="1" applyAlignment="1">
      <alignment horizontal="left" vertical="center"/>
    </xf>
    <xf numFmtId="182" fontId="74" fillId="13" borderId="1" xfId="55" applyNumberFormat="1" applyFont="1" applyFill="1" applyAlignment="1">
      <alignment/>
    </xf>
    <xf numFmtId="1" fontId="74" fillId="13" borderId="1" xfId="55" applyNumberFormat="1" applyFont="1" applyFill="1" applyAlignment="1">
      <alignment/>
    </xf>
    <xf numFmtId="182" fontId="74" fillId="13" borderId="1" xfId="55" applyNumberFormat="1" applyFont="1" applyFill="1" applyAlignment="1">
      <alignment vertical="center"/>
    </xf>
    <xf numFmtId="182" fontId="79" fillId="13" borderId="12" xfId="55" applyNumberFormat="1" applyFont="1" applyFill="1" applyBorder="1" applyAlignment="1">
      <alignment vertical="center"/>
    </xf>
    <xf numFmtId="182" fontId="79" fillId="13" borderId="1" xfId="55" applyNumberFormat="1" applyFont="1" applyFill="1" applyAlignment="1">
      <alignment/>
    </xf>
    <xf numFmtId="1" fontId="79" fillId="13" borderId="1" xfId="55" applyNumberFormat="1" applyFont="1" applyFill="1" applyAlignment="1">
      <alignment/>
    </xf>
    <xf numFmtId="0" fontId="79" fillId="13" borderId="1" xfId="55" applyFont="1" applyFill="1" applyAlignment="1">
      <alignment/>
    </xf>
    <xf numFmtId="1" fontId="74" fillId="13" borderId="1" xfId="55" applyNumberFormat="1" applyFont="1" applyFill="1" applyAlignment="1">
      <alignment horizontal="center"/>
    </xf>
    <xf numFmtId="185" fontId="74" fillId="13" borderId="1" xfId="55" applyNumberFormat="1" applyFont="1" applyFill="1" applyAlignment="1">
      <alignment/>
    </xf>
    <xf numFmtId="0" fontId="79" fillId="13" borderId="1" xfId="55" applyFont="1" applyFill="1" applyAlignment="1">
      <alignment horizontal="left"/>
    </xf>
    <xf numFmtId="0" fontId="74" fillId="13" borderId="1" xfId="55" applyFont="1" applyFill="1" applyAlignment="1">
      <alignment horizontal="left"/>
    </xf>
    <xf numFmtId="0" fontId="74" fillId="13" borderId="1" xfId="55" applyFont="1" applyFill="1" applyAlignment="1">
      <alignment/>
    </xf>
    <xf numFmtId="0" fontId="74" fillId="13" borderId="1" xfId="55" applyFont="1" applyFill="1" applyAlignment="1">
      <alignment/>
    </xf>
    <xf numFmtId="0" fontId="74" fillId="40" borderId="1" xfId="0" applyFont="1" applyFill="1" applyBorder="1" applyAlignment="1">
      <alignment/>
    </xf>
    <xf numFmtId="171" fontId="74" fillId="13" borderId="1" xfId="55" applyNumberFormat="1" applyFont="1" applyFill="1" applyAlignment="1">
      <alignment/>
    </xf>
    <xf numFmtId="185" fontId="74" fillId="13" borderId="1" xfId="55" applyNumberFormat="1" applyFont="1" applyFill="1" applyAlignment="1">
      <alignment/>
    </xf>
    <xf numFmtId="0" fontId="74" fillId="13" borderId="1" xfId="55" applyFont="1" applyFill="1" applyAlignment="1">
      <alignment horizontal="centerContinuous"/>
    </xf>
    <xf numFmtId="182" fontId="79" fillId="13" borderId="1" xfId="55" applyNumberFormat="1" applyFont="1" applyFill="1" applyAlignment="1">
      <alignment/>
    </xf>
    <xf numFmtId="3" fontId="74" fillId="13" borderId="1" xfId="55" applyNumberFormat="1" applyFont="1" applyFill="1" applyAlignment="1">
      <alignment/>
    </xf>
    <xf numFmtId="1" fontId="80" fillId="13" borderId="1" xfId="55" applyNumberFormat="1" applyFont="1" applyFill="1" applyAlignment="1">
      <alignment horizontal="center" vertical="top"/>
    </xf>
    <xf numFmtId="185" fontId="80" fillId="13" borderId="1" xfId="55" applyNumberFormat="1" applyFont="1" applyFill="1" applyAlignment="1">
      <alignment vertical="top"/>
    </xf>
    <xf numFmtId="0" fontId="83" fillId="13" borderId="1" xfId="55" applyFont="1" applyFill="1" applyAlignment="1">
      <alignment horizontal="left" vertical="top"/>
    </xf>
    <xf numFmtId="0" fontId="80" fillId="13" borderId="1" xfId="55" applyFont="1" applyFill="1" applyAlignment="1">
      <alignment horizontal="left" vertical="top"/>
    </xf>
    <xf numFmtId="0" fontId="80" fillId="13" borderId="1" xfId="55" applyNumberFormat="1" applyFont="1" applyFill="1" applyAlignment="1">
      <alignment horizontal="left" vertical="top"/>
    </xf>
    <xf numFmtId="4" fontId="80" fillId="13" borderId="1" xfId="55" applyNumberFormat="1" applyFont="1" applyFill="1" applyAlignment="1">
      <alignment horizontal="left" vertical="top"/>
    </xf>
    <xf numFmtId="0" fontId="83" fillId="13" borderId="1" xfId="55" applyFont="1" applyFill="1" applyAlignment="1">
      <alignment horizontal="center" vertical="top"/>
    </xf>
    <xf numFmtId="0" fontId="83" fillId="13" borderId="1" xfId="55" applyFont="1" applyFill="1" applyAlignment="1">
      <alignment horizontal="center" vertical="top"/>
    </xf>
    <xf numFmtId="0" fontId="83" fillId="13" borderId="1" xfId="55" applyFont="1" applyFill="1" applyAlignment="1">
      <alignment vertical="top"/>
    </xf>
    <xf numFmtId="186" fontId="80" fillId="13" borderId="1" xfId="55" applyNumberFormat="1" applyFont="1" applyFill="1" applyAlignment="1">
      <alignment horizontal="left" vertical="top"/>
    </xf>
    <xf numFmtId="186" fontId="80" fillId="13" borderId="1" xfId="55" applyNumberFormat="1" applyFont="1" applyFill="1" applyAlignment="1">
      <alignment vertical="top"/>
    </xf>
    <xf numFmtId="0" fontId="80" fillId="13" borderId="1" xfId="55" applyFont="1" applyFill="1" applyAlignment="1">
      <alignment vertical="top"/>
    </xf>
    <xf numFmtId="180" fontId="80" fillId="13" borderId="1" xfId="61" applyNumberFormat="1" applyFont="1" applyFill="1" applyBorder="1" applyAlignment="1">
      <alignment vertical="top"/>
    </xf>
    <xf numFmtId="171" fontId="80" fillId="13" borderId="1" xfId="55" applyNumberFormat="1" applyFont="1" applyFill="1" applyAlignment="1">
      <alignment vertical="top"/>
    </xf>
    <xf numFmtId="182" fontId="80" fillId="13" borderId="1" xfId="55" applyNumberFormat="1" applyFont="1" applyFill="1" applyAlignment="1">
      <alignment vertical="top"/>
    </xf>
    <xf numFmtId="184" fontId="80" fillId="13" borderId="1" xfId="55" applyNumberFormat="1" applyFont="1" applyFill="1" applyAlignment="1">
      <alignment vertical="top"/>
    </xf>
    <xf numFmtId="0" fontId="80" fillId="40" borderId="1" xfId="0" applyFont="1" applyFill="1" applyBorder="1" applyAlignment="1">
      <alignment vertical="top"/>
    </xf>
    <xf numFmtId="185" fontId="80" fillId="13" borderId="1" xfId="55" applyNumberFormat="1" applyFont="1" applyFill="1" applyAlignment="1">
      <alignment vertical="top"/>
    </xf>
    <xf numFmtId="185" fontId="80" fillId="13" borderId="1" xfId="42" applyNumberFormat="1" applyFont="1" applyFill="1" applyBorder="1" applyAlignment="1">
      <alignment vertical="top"/>
    </xf>
    <xf numFmtId="3" fontId="80" fillId="13" borderId="1" xfId="55" applyNumberFormat="1" applyFont="1" applyFill="1" applyAlignment="1">
      <alignment vertical="top"/>
    </xf>
    <xf numFmtId="182" fontId="80" fillId="8" borderId="1" xfId="55" applyNumberFormat="1" applyFont="1" applyFill="1" applyAlignment="1">
      <alignment vertical="top"/>
    </xf>
    <xf numFmtId="180" fontId="80" fillId="8" borderId="1" xfId="55" applyNumberFormat="1" applyFont="1" applyFill="1" applyAlignment="1">
      <alignment vertical="top"/>
    </xf>
    <xf numFmtId="180" fontId="80" fillId="38" borderId="1" xfId="55" applyNumberFormat="1" applyFont="1" applyFill="1" applyAlignment="1">
      <alignment vertical="top"/>
    </xf>
    <xf numFmtId="185" fontId="80" fillId="8" borderId="1" xfId="55" applyNumberFormat="1" applyFont="1" applyFill="1" applyAlignment="1">
      <alignment vertical="top"/>
    </xf>
    <xf numFmtId="4" fontId="80" fillId="13" borderId="1" xfId="55" applyNumberFormat="1" applyFont="1" applyFill="1" applyAlignment="1">
      <alignment vertical="top"/>
    </xf>
    <xf numFmtId="185" fontId="80" fillId="13" borderId="1" xfId="42" applyNumberFormat="1" applyFont="1" applyFill="1" applyBorder="1" applyAlignment="1">
      <alignment vertical="top"/>
    </xf>
    <xf numFmtId="182" fontId="85" fillId="13" borderId="1" xfId="55" applyNumberFormat="1" applyFont="1" applyFill="1" applyAlignment="1">
      <alignment vertical="center"/>
    </xf>
    <xf numFmtId="182" fontId="67" fillId="13" borderId="1" xfId="55" applyNumberFormat="1" applyFont="1" applyFill="1" applyAlignment="1">
      <alignment horizontal="center" vertical="center" wrapText="1"/>
    </xf>
    <xf numFmtId="187" fontId="85" fillId="13" borderId="1" xfId="55" applyNumberFormat="1" applyFont="1" applyFill="1" applyAlignment="1" quotePrefix="1">
      <alignment horizontal="center" vertical="center" wrapText="1"/>
    </xf>
    <xf numFmtId="188" fontId="85" fillId="13" borderId="1" xfId="42" applyNumberFormat="1" applyFont="1" applyFill="1" applyBorder="1" applyAlignment="1">
      <alignment vertical="center"/>
    </xf>
    <xf numFmtId="187" fontId="85" fillId="13" borderId="1" xfId="42" applyNumberFormat="1" applyFont="1" applyFill="1" applyBorder="1" applyAlignment="1">
      <alignment vertical="center"/>
    </xf>
    <xf numFmtId="182" fontId="67" fillId="13" borderId="1" xfId="55" applyNumberFormat="1" applyFont="1" applyFill="1" applyAlignment="1">
      <alignment horizontal="left" vertical="center"/>
    </xf>
    <xf numFmtId="188" fontId="67" fillId="13" borderId="1" xfId="42" applyNumberFormat="1" applyFont="1" applyFill="1" applyBorder="1" applyAlignment="1">
      <alignment vertical="center"/>
    </xf>
    <xf numFmtId="9" fontId="85" fillId="13" borderId="1" xfId="61" applyFont="1" applyFill="1" applyBorder="1" applyAlignment="1">
      <alignment horizontal="left"/>
    </xf>
    <xf numFmtId="9" fontId="67" fillId="13" borderId="1" xfId="55" applyNumberFormat="1" applyFont="1" applyFill="1" applyAlignment="1">
      <alignment/>
    </xf>
    <xf numFmtId="9" fontId="86" fillId="13" borderId="1" xfId="55" applyNumberFormat="1" applyFont="1" applyFill="1" applyAlignment="1">
      <alignment/>
    </xf>
    <xf numFmtId="187" fontId="85" fillId="13" borderId="1" xfId="55" applyNumberFormat="1" applyFont="1" applyFill="1" applyAlignment="1" quotePrefix="1">
      <alignment horizontal="center" wrapText="1"/>
    </xf>
    <xf numFmtId="171" fontId="85" fillId="13" borderId="1" xfId="55" applyNumberFormat="1" applyFont="1" applyFill="1" applyAlignment="1">
      <alignment horizontal="center"/>
    </xf>
    <xf numFmtId="187" fontId="85" fillId="13" borderId="1" xfId="42" applyNumberFormat="1" applyFont="1" applyFill="1" applyBorder="1" applyAlignment="1">
      <alignment vertical="top"/>
    </xf>
    <xf numFmtId="9" fontId="85" fillId="13" borderId="1" xfId="55" applyNumberFormat="1" applyFont="1" applyFill="1" applyAlignment="1">
      <alignment/>
    </xf>
    <xf numFmtId="187" fontId="67" fillId="13" borderId="1" xfId="42" applyNumberFormat="1" applyFont="1" applyFill="1" applyBorder="1" applyAlignment="1">
      <alignment vertical="top"/>
    </xf>
    <xf numFmtId="0" fontId="87" fillId="13" borderId="1" xfId="55" applyFont="1" applyFill="1" applyAlignment="1">
      <alignment/>
    </xf>
    <xf numFmtId="0" fontId="82" fillId="13" borderId="1" xfId="55" applyFont="1" applyFill="1" applyAlignment="1">
      <alignment/>
    </xf>
    <xf numFmtId="0" fontId="87" fillId="13" borderId="1" xfId="55" applyFont="1" applyFill="1" applyAlignment="1">
      <alignment horizontal="center"/>
    </xf>
    <xf numFmtId="0" fontId="82" fillId="13" borderId="1" xfId="55" applyFont="1" applyFill="1" applyAlignment="1" applyProtection="1">
      <alignment vertical="top"/>
      <protection/>
    </xf>
    <xf numFmtId="0" fontId="82" fillId="38" borderId="1" xfId="55" applyFont="1" applyFill="1" applyAlignment="1">
      <alignment/>
    </xf>
    <xf numFmtId="9" fontId="82" fillId="38" borderId="1" xfId="55" applyNumberFormat="1" applyFont="1" applyFill="1" applyAlignment="1">
      <alignment/>
    </xf>
    <xf numFmtId="9" fontId="82" fillId="36" borderId="1" xfId="55" applyNumberFormat="1" applyFont="1" applyFill="1" applyAlignment="1">
      <alignment/>
    </xf>
    <xf numFmtId="0" fontId="82" fillId="13" borderId="1" xfId="55" applyFont="1" applyFill="1" applyAlignment="1">
      <alignment/>
    </xf>
    <xf numFmtId="0" fontId="87" fillId="13" borderId="1" xfId="55" applyFont="1" applyFill="1" applyAlignment="1">
      <alignment horizontal="center" wrapText="1"/>
    </xf>
    <xf numFmtId="1" fontId="82" fillId="13" borderId="1" xfId="55" applyNumberFormat="1" applyFont="1" applyFill="1" applyAlignment="1">
      <alignment horizontal="left"/>
    </xf>
    <xf numFmtId="182" fontId="82" fillId="13" borderId="1" xfId="55" applyNumberFormat="1" applyFont="1" applyFill="1" applyAlignment="1">
      <alignment/>
    </xf>
    <xf numFmtId="180" fontId="82" fillId="13" borderId="1" xfId="55" applyNumberFormat="1" applyFont="1" applyFill="1" applyAlignment="1">
      <alignment/>
    </xf>
    <xf numFmtId="9" fontId="82" fillId="38" borderId="1" xfId="55" applyNumberFormat="1" applyFont="1" applyFill="1" applyAlignment="1">
      <alignment/>
    </xf>
    <xf numFmtId="0" fontId="80" fillId="13" borderId="1" xfId="55" applyFont="1" applyFill="1" applyAlignment="1">
      <alignment wrapText="1"/>
    </xf>
    <xf numFmtId="0" fontId="83" fillId="13" borderId="1" xfId="55" applyFont="1" applyFill="1" applyAlignment="1">
      <alignment horizontal="center" wrapText="1"/>
    </xf>
    <xf numFmtId="0" fontId="83" fillId="13" borderId="1" xfId="55" applyFont="1" applyFill="1" applyAlignment="1">
      <alignment horizontal="centerContinuous"/>
    </xf>
    <xf numFmtId="9" fontId="80" fillId="13" borderId="1" xfId="55" applyNumberFormat="1" applyFont="1" applyFill="1" applyAlignment="1">
      <alignment/>
    </xf>
    <xf numFmtId="9" fontId="83" fillId="38" borderId="1" xfId="55" applyNumberFormat="1" applyFont="1" applyFill="1" applyAlignment="1">
      <alignment/>
    </xf>
    <xf numFmtId="0" fontId="80" fillId="13" borderId="12" xfId="55" applyFont="1" applyFill="1" applyBorder="1" applyAlignment="1">
      <alignment/>
    </xf>
    <xf numFmtId="9" fontId="80" fillId="13" borderId="12" xfId="55" applyNumberFormat="1" applyFont="1" applyFill="1" applyBorder="1" applyAlignment="1">
      <alignment/>
    </xf>
    <xf numFmtId="9" fontId="83" fillId="38" borderId="1" xfId="55" applyNumberFormat="1" applyFont="1" applyFill="1" applyAlignment="1">
      <alignment/>
    </xf>
    <xf numFmtId="9" fontId="80" fillId="13" borderId="1" xfId="55" applyNumberFormat="1" applyFont="1" applyFill="1" applyAlignment="1">
      <alignment/>
    </xf>
    <xf numFmtId="182" fontId="80" fillId="38" borderId="1" xfId="42" applyNumberFormat="1" applyFont="1" applyFill="1" applyBorder="1" applyAlignment="1">
      <alignment/>
    </xf>
    <xf numFmtId="182" fontId="80" fillId="13" borderId="1" xfId="42" applyNumberFormat="1" applyFont="1" applyFill="1" applyBorder="1" applyAlignment="1">
      <alignment/>
    </xf>
    <xf numFmtId="0" fontId="80" fillId="38" borderId="1" xfId="55" applyFont="1" applyFill="1" applyAlignment="1">
      <alignment/>
    </xf>
    <xf numFmtId="9" fontId="80" fillId="38" borderId="1" xfId="61" applyFont="1" applyFill="1" applyBorder="1" applyAlignment="1">
      <alignment/>
    </xf>
    <xf numFmtId="182" fontId="80" fillId="13" borderId="0" xfId="42" applyNumberFormat="1" applyFont="1" applyFill="1" applyBorder="1" applyAlignment="1">
      <alignment/>
    </xf>
    <xf numFmtId="0" fontId="80" fillId="21" borderId="0" xfId="0" applyFont="1" applyFill="1" applyAlignment="1">
      <alignment/>
    </xf>
    <xf numFmtId="183" fontId="80" fillId="13" borderId="1" xfId="55" applyNumberFormat="1" applyFont="1" applyFill="1" applyAlignment="1">
      <alignment/>
    </xf>
    <xf numFmtId="171" fontId="80" fillId="13" borderId="1" xfId="42" applyFont="1" applyFill="1" applyBorder="1" applyAlignment="1">
      <alignment/>
    </xf>
    <xf numFmtId="9" fontId="80" fillId="16" borderId="1" xfId="55" applyNumberFormat="1" applyFont="1" applyFill="1" applyAlignment="1" applyProtection="1">
      <alignment vertical="top"/>
      <protection/>
    </xf>
    <xf numFmtId="180" fontId="78" fillId="13" borderId="1" xfId="57" applyNumberFormat="1" applyFont="1" applyFill="1" applyBorder="1" applyAlignment="1" applyProtection="1">
      <alignment vertical="top"/>
      <protection/>
    </xf>
    <xf numFmtId="2" fontId="60" fillId="16" borderId="1" xfId="55" applyNumberFormat="1" applyFill="1" applyAlignment="1">
      <alignment/>
    </xf>
    <xf numFmtId="9" fontId="80" fillId="16" borderId="1" xfId="61" applyFont="1" applyFill="1" applyBorder="1" applyAlignment="1">
      <alignment/>
    </xf>
    <xf numFmtId="171" fontId="80" fillId="16" borderId="1" xfId="42" applyFont="1" applyFill="1" applyBorder="1" applyAlignment="1">
      <alignment/>
    </xf>
    <xf numFmtId="10" fontId="74" fillId="16" borderId="1" xfId="55" applyNumberFormat="1" applyFont="1" applyFill="1" applyAlignment="1">
      <alignment/>
    </xf>
    <xf numFmtId="9" fontId="80" fillId="16" borderId="1" xfId="55" applyNumberFormat="1" applyFont="1" applyFill="1" applyAlignment="1">
      <alignment vertical="top"/>
    </xf>
    <xf numFmtId="0" fontId="80" fillId="16" borderId="1" xfId="55" applyFont="1" applyFill="1" applyAlignment="1">
      <alignment/>
    </xf>
    <xf numFmtId="171" fontId="80" fillId="16" borderId="1" xfId="55" applyNumberFormat="1" applyFont="1" applyFill="1" applyAlignment="1">
      <alignment/>
    </xf>
    <xf numFmtId="9" fontId="80" fillId="16" borderId="1" xfId="55" applyNumberFormat="1" applyFont="1" applyFill="1" applyAlignment="1">
      <alignment/>
    </xf>
    <xf numFmtId="182" fontId="80" fillId="16" borderId="1" xfId="55" applyNumberFormat="1" applyFont="1" applyFill="1" applyAlignment="1">
      <alignment/>
    </xf>
    <xf numFmtId="182" fontId="80" fillId="16" borderId="1" xfId="42" applyNumberFormat="1" applyFont="1" applyFill="1" applyBorder="1" applyAlignment="1">
      <alignment/>
    </xf>
    <xf numFmtId="9" fontId="83" fillId="13" borderId="1" xfId="55" applyNumberFormat="1" applyFont="1" applyFill="1" applyAlignment="1">
      <alignment horizontal="left"/>
    </xf>
    <xf numFmtId="0" fontId="80" fillId="13" borderId="1" xfId="42" applyNumberFormat="1" applyFont="1" applyFill="1" applyBorder="1" applyAlignment="1">
      <alignment/>
    </xf>
    <xf numFmtId="182" fontId="80" fillId="13" borderId="1" xfId="55" applyNumberFormat="1" applyFont="1" applyFill="1" applyAlignment="1">
      <alignment horizontal="left" vertical="center"/>
    </xf>
    <xf numFmtId="182" fontId="80" fillId="13" borderId="1" xfId="55" applyNumberFormat="1" applyFont="1" applyFill="1" applyAlignment="1">
      <alignment/>
    </xf>
    <xf numFmtId="3" fontId="80" fillId="13" borderId="1" xfId="55" applyNumberFormat="1" applyFont="1" applyFill="1" applyAlignment="1">
      <alignment/>
    </xf>
    <xf numFmtId="4" fontId="80" fillId="13" borderId="1" xfId="55" applyNumberFormat="1" applyFont="1" applyFill="1" applyAlignment="1">
      <alignment/>
    </xf>
    <xf numFmtId="182" fontId="80" fillId="13" borderId="1" xfId="55" applyNumberFormat="1" applyFont="1" applyFill="1" applyAlignment="1">
      <alignment vertical="center"/>
    </xf>
    <xf numFmtId="182" fontId="83" fillId="13" borderId="12" xfId="55" applyNumberFormat="1" applyFont="1" applyFill="1" applyBorder="1" applyAlignment="1">
      <alignment vertical="center"/>
    </xf>
    <xf numFmtId="3" fontId="83" fillId="13" borderId="1" xfId="55" applyNumberFormat="1" applyFont="1" applyFill="1" applyAlignment="1">
      <alignment/>
    </xf>
    <xf numFmtId="187" fontId="60" fillId="13" borderId="1" xfId="55" applyNumberFormat="1" applyFill="1" applyAlignment="1">
      <alignment/>
    </xf>
    <xf numFmtId="0" fontId="88" fillId="12" borderId="0" xfId="49" applyFont="1" applyFill="1" applyAlignment="1">
      <alignment horizontal="center" vertical="center"/>
    </xf>
    <xf numFmtId="9" fontId="88" fillId="12" borderId="0" xfId="49" applyNumberFormat="1" applyFont="1" applyFill="1" applyAlignment="1">
      <alignment horizontal="center" vertical="center"/>
    </xf>
    <xf numFmtId="0" fontId="82" fillId="30" borderId="1" xfId="55" applyFont="1" applyAlignment="1">
      <alignment/>
    </xf>
    <xf numFmtId="187" fontId="82" fillId="30" borderId="1" xfId="55" applyNumberFormat="1" applyFont="1" applyAlignment="1">
      <alignment/>
    </xf>
    <xf numFmtId="9" fontId="82" fillId="30" borderId="1" xfId="55" applyNumberFormat="1" applyFont="1" applyAlignment="1">
      <alignment/>
    </xf>
    <xf numFmtId="0" fontId="82" fillId="13" borderId="1" xfId="55" applyFont="1" applyFill="1" applyAlignment="1">
      <alignment horizontal="center" vertical="center"/>
    </xf>
    <xf numFmtId="0" fontId="87" fillId="13" borderId="1" xfId="55" applyFont="1" applyFill="1" applyAlignment="1">
      <alignment horizontal="center" vertical="center"/>
    </xf>
    <xf numFmtId="1" fontId="82" fillId="13" borderId="1" xfId="55" applyNumberFormat="1" applyFont="1" applyFill="1" applyAlignment="1">
      <alignment horizontal="center"/>
    </xf>
    <xf numFmtId="187" fontId="82" fillId="13" borderId="1" xfId="55" applyNumberFormat="1" applyFont="1" applyFill="1" applyAlignment="1">
      <alignment/>
    </xf>
    <xf numFmtId="9" fontId="82" fillId="13" borderId="1" xfId="55" applyNumberFormat="1" applyFont="1" applyFill="1" applyAlignment="1">
      <alignment horizontal="center" vertical="center"/>
    </xf>
    <xf numFmtId="187" fontId="87" fillId="13" borderId="1" xfId="55" applyNumberFormat="1" applyFont="1" applyFill="1" applyAlignment="1">
      <alignment horizontal="center" vertical="center"/>
    </xf>
    <xf numFmtId="9" fontId="82" fillId="13" borderId="1" xfId="55" applyNumberFormat="1" applyFont="1" applyFill="1" applyAlignment="1">
      <alignment/>
    </xf>
    <xf numFmtId="187" fontId="87" fillId="13" borderId="1" xfId="55" applyNumberFormat="1" applyFont="1" applyFill="1" applyAlignment="1">
      <alignment/>
    </xf>
    <xf numFmtId="187" fontId="82" fillId="13" borderId="1" xfId="55" applyNumberFormat="1" applyFont="1" applyFill="1" applyAlignment="1">
      <alignment horizontal="center" vertical="center"/>
    </xf>
    <xf numFmtId="180" fontId="82" fillId="13" borderId="1" xfId="61" applyNumberFormat="1" applyFont="1" applyFill="1" applyBorder="1" applyAlignment="1">
      <alignment horizontal="center" vertical="center"/>
    </xf>
    <xf numFmtId="9" fontId="82" fillId="13" borderId="1" xfId="61" applyFont="1" applyFill="1" applyBorder="1" applyAlignment="1">
      <alignment horizontal="center" vertical="center"/>
    </xf>
    <xf numFmtId="9" fontId="82" fillId="13" borderId="1" xfId="61" applyFont="1" applyFill="1" applyBorder="1" applyAlignment="1">
      <alignment/>
    </xf>
    <xf numFmtId="189" fontId="87" fillId="13" borderId="1" xfId="45" applyNumberFormat="1" applyFont="1" applyFill="1" applyBorder="1" applyAlignment="1">
      <alignment/>
    </xf>
    <xf numFmtId="10" fontId="82" fillId="30" borderId="1" xfId="55" applyNumberFormat="1" applyFont="1" applyAlignment="1">
      <alignment/>
    </xf>
    <xf numFmtId="0" fontId="82" fillId="8" borderId="1" xfId="55" applyFont="1" applyFill="1" applyAlignment="1">
      <alignment horizontal="center"/>
    </xf>
    <xf numFmtId="180" fontId="82" fillId="38" borderId="1" xfId="55" applyNumberFormat="1" applyFont="1" applyFill="1" applyAlignment="1">
      <alignment/>
    </xf>
    <xf numFmtId="187" fontId="82" fillId="38" borderId="1" xfId="55" applyNumberFormat="1" applyFont="1" applyFill="1" applyAlignment="1">
      <alignment/>
    </xf>
    <xf numFmtId="0" fontId="80" fillId="0" borderId="0" xfId="0" applyFont="1" applyAlignment="1">
      <alignment/>
    </xf>
    <xf numFmtId="10" fontId="82" fillId="13" borderId="1" xfId="55" applyNumberFormat="1" applyFont="1" applyFill="1" applyAlignment="1">
      <alignment/>
    </xf>
    <xf numFmtId="183" fontId="82" fillId="13" borderId="1" xfId="55" applyNumberFormat="1" applyFont="1" applyFill="1" applyAlignment="1">
      <alignment/>
    </xf>
    <xf numFmtId="186" fontId="82" fillId="13" borderId="1" xfId="55" applyNumberFormat="1" applyFont="1" applyFill="1" applyAlignment="1">
      <alignment/>
    </xf>
    <xf numFmtId="185" fontId="87" fillId="13" borderId="1" xfId="55" applyNumberFormat="1" applyFont="1" applyFill="1" applyAlignment="1">
      <alignment/>
    </xf>
    <xf numFmtId="170" fontId="82" fillId="13" borderId="1" xfId="55" applyNumberFormat="1" applyFont="1" applyFill="1" applyAlignment="1">
      <alignment/>
    </xf>
    <xf numFmtId="0" fontId="82" fillId="13" borderId="10" xfId="49" applyFont="1" applyFill="1" applyBorder="1" applyAlignment="1">
      <alignment/>
    </xf>
    <xf numFmtId="187" fontId="82" fillId="13" borderId="10" xfId="49" applyNumberFormat="1" applyFont="1" applyFill="1" applyBorder="1" applyAlignment="1">
      <alignment/>
    </xf>
    <xf numFmtId="9" fontId="82" fillId="13" borderId="11" xfId="49" applyNumberFormat="1" applyFont="1" applyFill="1" applyBorder="1" applyAlignment="1">
      <alignment/>
    </xf>
    <xf numFmtId="0" fontId="82" fillId="13" borderId="11" xfId="49" applyFont="1" applyFill="1" applyBorder="1" applyAlignment="1">
      <alignment/>
    </xf>
    <xf numFmtId="0" fontId="82" fillId="13" borderId="13" xfId="49" applyFont="1" applyFill="1" applyBorder="1" applyAlignment="1">
      <alignment/>
    </xf>
    <xf numFmtId="187" fontId="82" fillId="13" borderId="13" xfId="49" applyNumberFormat="1" applyFont="1" applyFill="1" applyBorder="1" applyAlignment="1">
      <alignment/>
    </xf>
    <xf numFmtId="187" fontId="82" fillId="13" borderId="14" xfId="49" applyNumberFormat="1" applyFont="1" applyFill="1" applyBorder="1" applyAlignment="1">
      <alignment/>
    </xf>
    <xf numFmtId="0" fontId="80" fillId="38" borderId="1" xfId="55" applyFont="1" applyFill="1" applyAlignment="1">
      <alignment/>
    </xf>
    <xf numFmtId="0" fontId="80" fillId="13" borderId="1" xfId="55" applyNumberFormat="1" applyFont="1" applyFill="1" applyAlignment="1">
      <alignment wrapText="1"/>
    </xf>
    <xf numFmtId="0" fontId="83" fillId="13" borderId="1" xfId="55" applyNumberFormat="1" applyFont="1" applyFill="1" applyAlignment="1">
      <alignment wrapText="1"/>
    </xf>
    <xf numFmtId="0" fontId="83" fillId="13" borderId="1" xfId="55" applyFont="1" applyFill="1" applyAlignment="1">
      <alignment wrapText="1"/>
    </xf>
    <xf numFmtId="184" fontId="80" fillId="13" borderId="1" xfId="55" applyNumberFormat="1" applyFont="1" applyFill="1" applyAlignment="1">
      <alignment/>
    </xf>
    <xf numFmtId="184" fontId="83" fillId="13" borderId="1" xfId="55" applyNumberFormat="1" applyFont="1" applyFill="1" applyAlignment="1">
      <alignment/>
    </xf>
    <xf numFmtId="183" fontId="80" fillId="13" borderId="1" xfId="55" applyNumberFormat="1" applyFont="1" applyFill="1" applyAlignment="1">
      <alignment/>
    </xf>
    <xf numFmtId="165" fontId="80" fillId="13" borderId="1" xfId="55" applyNumberFormat="1" applyFont="1" applyFill="1" applyAlignment="1">
      <alignment/>
    </xf>
    <xf numFmtId="166" fontId="80" fillId="13" borderId="1" xfId="55" applyNumberFormat="1" applyFont="1" applyFill="1" applyAlignment="1">
      <alignment/>
    </xf>
    <xf numFmtId="187" fontId="80" fillId="13" borderId="1" xfId="55" applyNumberFormat="1" applyFont="1" applyFill="1" applyAlignment="1">
      <alignment/>
    </xf>
    <xf numFmtId="185" fontId="80" fillId="8" borderId="1" xfId="55" applyNumberFormat="1" applyFont="1" applyFill="1" applyAlignment="1">
      <alignment/>
    </xf>
    <xf numFmtId="184" fontId="80" fillId="8" borderId="1" xfId="45" applyNumberFormat="1" applyFont="1" applyFill="1" applyBorder="1" applyAlignment="1">
      <alignment/>
    </xf>
    <xf numFmtId="182" fontId="80" fillId="8" borderId="1" xfId="55" applyNumberFormat="1" applyFont="1" applyFill="1" applyAlignment="1">
      <alignment/>
    </xf>
    <xf numFmtId="165" fontId="80" fillId="38" borderId="1" xfId="55" applyNumberFormat="1" applyFont="1" applyFill="1" applyAlignment="1">
      <alignment/>
    </xf>
    <xf numFmtId="0" fontId="75" fillId="12" borderId="1" xfId="49" applyFont="1" applyFill="1" applyBorder="1" applyAlignment="1">
      <alignment/>
    </xf>
    <xf numFmtId="0" fontId="76" fillId="12" borderId="1" xfId="49" applyFont="1" applyFill="1" applyBorder="1" applyAlignment="1">
      <alignment/>
    </xf>
    <xf numFmtId="1" fontId="76" fillId="12" borderId="1" xfId="49" applyNumberFormat="1" applyFont="1" applyFill="1" applyBorder="1" applyAlignment="1">
      <alignment/>
    </xf>
    <xf numFmtId="165" fontId="76" fillId="12" borderId="1" xfId="49" applyNumberFormat="1" applyFont="1" applyFill="1" applyBorder="1" applyAlignment="1">
      <alignment/>
    </xf>
    <xf numFmtId="185" fontId="76" fillId="12" borderId="1" xfId="49" applyNumberFormat="1" applyFont="1" applyFill="1" applyBorder="1" applyAlignment="1">
      <alignment/>
    </xf>
    <xf numFmtId="185" fontId="80" fillId="38" borderId="1" xfId="55" applyNumberFormat="1" applyFont="1" applyFill="1" applyAlignment="1">
      <alignment/>
    </xf>
    <xf numFmtId="0" fontId="83" fillId="13" borderId="0" xfId="55" applyFont="1" applyFill="1" applyBorder="1" applyAlignment="1">
      <alignment/>
    </xf>
    <xf numFmtId="165" fontId="83" fillId="13" borderId="1" xfId="55" applyNumberFormat="1" applyFont="1" applyFill="1" applyAlignment="1">
      <alignment/>
    </xf>
    <xf numFmtId="9" fontId="60" fillId="13" borderId="1" xfId="55" applyNumberFormat="1" applyFill="1" applyAlignment="1">
      <alignment/>
    </xf>
    <xf numFmtId="185" fontId="84" fillId="13" borderId="1" xfId="55" applyNumberFormat="1" applyFont="1" applyFill="1" applyAlignment="1">
      <alignment/>
    </xf>
    <xf numFmtId="188" fontId="84" fillId="13" borderId="1" xfId="55" applyNumberFormat="1" applyFont="1" applyFill="1" applyAlignment="1">
      <alignment/>
    </xf>
    <xf numFmtId="0" fontId="74" fillId="13" borderId="1" xfId="55" applyFont="1" applyFill="1" applyAlignment="1">
      <alignment/>
    </xf>
    <xf numFmtId="0" fontId="79" fillId="13" borderId="1" xfId="55" applyFont="1" applyFill="1" applyAlignment="1">
      <alignment/>
    </xf>
    <xf numFmtId="9" fontId="79" fillId="13" borderId="1" xfId="55" applyNumberFormat="1" applyFont="1" applyFill="1" applyAlignment="1">
      <alignment/>
    </xf>
    <xf numFmtId="191" fontId="79" fillId="13" borderId="1" xfId="55" applyNumberFormat="1" applyFont="1" applyFill="1" applyAlignment="1">
      <alignment/>
    </xf>
    <xf numFmtId="1" fontId="74" fillId="13" borderId="1" xfId="55" applyNumberFormat="1" applyFont="1" applyFill="1" applyAlignment="1">
      <alignment horizontal="center"/>
    </xf>
    <xf numFmtId="188" fontId="74" fillId="13" borderId="1" xfId="55" applyNumberFormat="1" applyFont="1" applyFill="1" applyAlignment="1">
      <alignment/>
    </xf>
    <xf numFmtId="171" fontId="74" fillId="13" borderId="1" xfId="42" applyFont="1" applyFill="1" applyBorder="1" applyAlignment="1">
      <alignment/>
    </xf>
    <xf numFmtId="181" fontId="74" fillId="13" borderId="1" xfId="42" applyNumberFormat="1" applyFont="1" applyFill="1" applyBorder="1" applyAlignment="1">
      <alignment/>
    </xf>
    <xf numFmtId="181" fontId="79" fillId="13" borderId="1" xfId="42" applyNumberFormat="1" applyFont="1" applyFill="1" applyBorder="1" applyAlignment="1">
      <alignment/>
    </xf>
    <xf numFmtId="185" fontId="79" fillId="13" borderId="1" xfId="55" applyNumberFormat="1" applyFont="1" applyFill="1" applyAlignment="1">
      <alignment/>
    </xf>
    <xf numFmtId="182" fontId="67" fillId="13" borderId="1" xfId="55" applyNumberFormat="1" applyFont="1" applyFill="1" applyAlignment="1">
      <alignment horizontal="center" wrapText="1"/>
    </xf>
    <xf numFmtId="0" fontId="67" fillId="13" borderId="1" xfId="55" applyFont="1" applyFill="1" applyAlignment="1">
      <alignment horizontal="center"/>
    </xf>
    <xf numFmtId="0" fontId="87" fillId="13" borderId="15" xfId="55" applyFont="1" applyFill="1" applyBorder="1" applyAlignment="1">
      <alignment horizontal="center" vertical="center"/>
    </xf>
    <xf numFmtId="0" fontId="87" fillId="13" borderId="16" xfId="55" applyFont="1" applyFill="1" applyBorder="1" applyAlignment="1">
      <alignment horizontal="center" vertical="center"/>
    </xf>
    <xf numFmtId="0" fontId="87" fillId="13" borderId="17" xfId="55" applyFont="1" applyFill="1" applyBorder="1" applyAlignment="1">
      <alignment horizontal="center" vertical="center"/>
    </xf>
    <xf numFmtId="0" fontId="87" fillId="13" borderId="15" xfId="55" applyFont="1" applyFill="1" applyBorder="1" applyAlignment="1">
      <alignment horizontal="center"/>
    </xf>
    <xf numFmtId="0" fontId="87" fillId="13" borderId="16" xfId="55" applyFont="1" applyFill="1" applyBorder="1" applyAlignment="1">
      <alignment horizontal="center"/>
    </xf>
    <xf numFmtId="0" fontId="87" fillId="13" borderId="17" xfId="55" applyFont="1" applyFill="1" applyBorder="1" applyAlignment="1">
      <alignment horizontal="center"/>
    </xf>
    <xf numFmtId="0" fontId="89" fillId="41" borderId="15" xfId="55" applyFont="1" applyFill="1" applyBorder="1" applyAlignment="1">
      <alignment horizontal="center"/>
    </xf>
    <xf numFmtId="0" fontId="89" fillId="41" borderId="17" xfId="55" applyFont="1" applyFill="1" applyBorder="1" applyAlignment="1">
      <alignment horizontal="center"/>
    </xf>
    <xf numFmtId="0" fontId="87" fillId="31" borderId="15" xfId="57" applyFont="1" applyBorder="1" applyAlignment="1">
      <alignment horizontal="center"/>
    </xf>
    <xf numFmtId="0" fontId="87" fillId="31" borderId="16" xfId="57" applyFont="1" applyBorder="1" applyAlignment="1">
      <alignment horizontal="center"/>
    </xf>
    <xf numFmtId="0" fontId="87" fillId="31" borderId="17" xfId="57" applyFont="1" applyBorder="1" applyAlignment="1">
      <alignment horizontal="center"/>
    </xf>
    <xf numFmtId="0" fontId="80" fillId="13" borderId="1" xfId="55" applyFont="1" applyFill="1" applyAlignment="1">
      <alignment horizont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0.png" /><Relationship Id="rId2" Type="http://schemas.openxmlformats.org/officeDocument/2006/relationships/hyperlink" Target="https://www.cia.gov/library/publications/the-world-factbook/fields/2048.html#sg" TargetMode="External" /><Relationship Id="rId3" Type="http://schemas.openxmlformats.org/officeDocument/2006/relationships/hyperlink" Target="https://www.cia.gov/library/publications/the-world-factbook/fields/2048.html#sg"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0</xdr:colOff>
      <xdr:row>2</xdr:row>
      <xdr:rowOff>0</xdr:rowOff>
    </xdr:from>
    <xdr:to>
      <xdr:col>6</xdr:col>
      <xdr:colOff>190500</xdr:colOff>
      <xdr:row>3</xdr:row>
      <xdr:rowOff>0</xdr:rowOff>
    </xdr:to>
    <xdr:pic>
      <xdr:nvPicPr>
        <xdr:cNvPr id="1" name="Picture 1" descr="https://www.cia.gov/library/publications/the-world-factbook/graphics/field_listing_on.gif">
          <a:hlinkClick r:id="rId3"/>
        </xdr:cNvPr>
        <xdr:cNvPicPr preferRelativeResize="1">
          <a:picLocks noChangeAspect="1"/>
        </xdr:cNvPicPr>
      </xdr:nvPicPr>
      <xdr:blipFill>
        <a:blip r:embed="rId1"/>
        <a:stretch>
          <a:fillRect/>
        </a:stretch>
      </xdr:blipFill>
      <xdr:spPr>
        <a:xfrm>
          <a:off x="9372600" y="304800"/>
          <a:ext cx="190500" cy="161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2.v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3.vml"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4.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tabColor rgb="FFFFFF00"/>
  </sheetPr>
  <dimension ref="A1:F32"/>
  <sheetViews>
    <sheetView tabSelected="1" workbookViewId="0" topLeftCell="A1">
      <selection activeCell="A33" sqref="A33"/>
    </sheetView>
  </sheetViews>
  <sheetFormatPr defaultColWidth="8.8515625" defaultRowHeight="12.75"/>
  <cols>
    <col min="1" max="1" width="54.140625" style="43" customWidth="1"/>
    <col min="2" max="2" width="25.28125" style="43" customWidth="1"/>
    <col min="3" max="3" width="60.8515625" style="58" bestFit="1" customWidth="1"/>
    <col min="4" max="4" width="60.8515625" style="55" bestFit="1" customWidth="1"/>
    <col min="5" max="5" width="13.140625" style="43" bestFit="1" customWidth="1"/>
    <col min="6" max="6" width="7.7109375" style="43" bestFit="1" customWidth="1"/>
    <col min="7" max="7" width="5.421875" style="43" customWidth="1"/>
    <col min="8" max="9" width="4.8515625" style="43" customWidth="1"/>
    <col min="10" max="10" width="4.7109375" style="43" customWidth="1"/>
    <col min="11" max="11" width="5.00390625" style="43" customWidth="1"/>
    <col min="12" max="12" width="6.140625" style="43" customWidth="1"/>
    <col min="13" max="13" width="5.7109375" style="43" customWidth="1"/>
    <col min="14" max="16384" width="8.8515625" style="43" customWidth="1"/>
  </cols>
  <sheetData>
    <row r="1" spans="1:4" ht="12">
      <c r="A1" s="139" t="s">
        <v>382</v>
      </c>
      <c r="B1" s="145"/>
      <c r="C1" s="139" t="s">
        <v>41</v>
      </c>
      <c r="D1" s="99"/>
    </row>
    <row r="2" spans="1:4" ht="12">
      <c r="A2" s="140" t="s">
        <v>293</v>
      </c>
      <c r="B2" s="114">
        <v>0.85</v>
      </c>
      <c r="C2" s="143" t="s">
        <v>420</v>
      </c>
      <c r="D2" s="99"/>
    </row>
    <row r="3" spans="1:6" ht="12">
      <c r="A3" s="140" t="s">
        <v>294</v>
      </c>
      <c r="B3" s="114">
        <v>0.9</v>
      </c>
      <c r="C3" s="143" t="s">
        <v>420</v>
      </c>
      <c r="D3" s="100"/>
      <c r="E3" s="56"/>
      <c r="F3" s="56"/>
    </row>
    <row r="4" spans="1:4" ht="12">
      <c r="A4" s="140" t="s">
        <v>295</v>
      </c>
      <c r="B4" s="114">
        <v>0.8</v>
      </c>
      <c r="C4" s="143" t="s">
        <v>301</v>
      </c>
      <c r="D4" s="100"/>
    </row>
    <row r="5" spans="1:4" ht="12">
      <c r="A5" s="141" t="s">
        <v>150</v>
      </c>
      <c r="B5" s="146">
        <f>'Demo &amp; Health'!B3*Econ!B2</f>
        <v>6800000</v>
      </c>
      <c r="C5" s="142" t="s">
        <v>291</v>
      </c>
      <c r="D5" s="99"/>
    </row>
    <row r="6" spans="1:4" ht="12">
      <c r="A6" s="141" t="s">
        <v>151</v>
      </c>
      <c r="B6" s="146">
        <f>'Demo &amp; Health'!B4*Econ!B3</f>
        <v>3600000</v>
      </c>
      <c r="C6" s="142" t="s">
        <v>44</v>
      </c>
      <c r="D6" s="99"/>
    </row>
    <row r="7" spans="1:5" ht="12">
      <c r="A7" s="141" t="s">
        <v>152</v>
      </c>
      <c r="B7" s="146">
        <f>'Demo &amp; Health'!B5*Econ!B4</f>
        <v>3200000</v>
      </c>
      <c r="C7" s="142" t="s">
        <v>44</v>
      </c>
      <c r="D7" s="99"/>
      <c r="E7" s="57"/>
    </row>
    <row r="8" spans="1:4" ht="12">
      <c r="A8" s="140" t="s">
        <v>45</v>
      </c>
      <c r="B8" s="115">
        <v>50</v>
      </c>
      <c r="C8" s="143" t="s">
        <v>301</v>
      </c>
      <c r="D8" s="101"/>
    </row>
    <row r="9" spans="1:4" ht="12">
      <c r="A9" s="140" t="s">
        <v>46</v>
      </c>
      <c r="B9" s="115">
        <v>50</v>
      </c>
      <c r="C9" s="143" t="s">
        <v>301</v>
      </c>
      <c r="D9" s="99" t="s">
        <v>394</v>
      </c>
    </row>
    <row r="10" spans="1:4" ht="12">
      <c r="A10" s="140" t="s">
        <v>47</v>
      </c>
      <c r="B10" s="115">
        <v>50</v>
      </c>
      <c r="C10" s="143" t="s">
        <v>301</v>
      </c>
      <c r="D10" s="99"/>
    </row>
    <row r="11" spans="1:4" ht="12">
      <c r="A11" s="140" t="s">
        <v>296</v>
      </c>
      <c r="B11" s="115">
        <v>18.9</v>
      </c>
      <c r="C11" s="143" t="s">
        <v>301</v>
      </c>
      <c r="D11" s="99"/>
    </row>
    <row r="12" spans="1:4" ht="12">
      <c r="A12" s="140" t="s">
        <v>297</v>
      </c>
      <c r="B12" s="147">
        <v>15</v>
      </c>
      <c r="C12" s="142" t="s">
        <v>55</v>
      </c>
      <c r="D12" s="99"/>
    </row>
    <row r="13" spans="1:5" ht="12">
      <c r="A13" s="140" t="s">
        <v>298</v>
      </c>
      <c r="B13" s="147">
        <f>B10-B12</f>
        <v>35</v>
      </c>
      <c r="C13" s="142" t="s">
        <v>44</v>
      </c>
      <c r="D13" s="99"/>
      <c r="E13" s="56" t="s">
        <v>274</v>
      </c>
    </row>
    <row r="14" spans="1:4" ht="12">
      <c r="A14" s="140" t="s">
        <v>33</v>
      </c>
      <c r="B14" s="147">
        <f>B9-B12</f>
        <v>35</v>
      </c>
      <c r="C14" s="142" t="s">
        <v>44</v>
      </c>
      <c r="D14" s="99"/>
    </row>
    <row r="15" spans="1:4" ht="12">
      <c r="A15" s="140" t="s">
        <v>299</v>
      </c>
      <c r="B15" s="147">
        <f>B8-B12</f>
        <v>35</v>
      </c>
      <c r="C15" s="142" t="s">
        <v>44</v>
      </c>
      <c r="D15" s="99"/>
    </row>
    <row r="16" spans="1:4" ht="12">
      <c r="A16" s="142" t="s">
        <v>146</v>
      </c>
      <c r="B16" s="116">
        <v>20000000000</v>
      </c>
      <c r="C16" s="143" t="s">
        <v>301</v>
      </c>
      <c r="D16" s="101"/>
    </row>
    <row r="17" spans="1:4" ht="12">
      <c r="A17" s="140" t="s">
        <v>54</v>
      </c>
      <c r="B17" s="148">
        <f>B16/B5</f>
        <v>2941.176470588235</v>
      </c>
      <c r="C17" s="142" t="s">
        <v>44</v>
      </c>
      <c r="D17" s="99"/>
    </row>
    <row r="18" spans="1:4" ht="12">
      <c r="A18" s="140" t="s">
        <v>402</v>
      </c>
      <c r="B18" s="117">
        <v>0.6</v>
      </c>
      <c r="C18" s="142" t="s">
        <v>406</v>
      </c>
      <c r="D18" s="99"/>
    </row>
    <row r="19" spans="1:4" ht="12">
      <c r="A19" s="140" t="s">
        <v>403</v>
      </c>
      <c r="B19" s="118">
        <f>B17*B18</f>
        <v>1764.705882352941</v>
      </c>
      <c r="C19" s="144" t="s">
        <v>396</v>
      </c>
      <c r="D19" s="101"/>
    </row>
    <row r="20" spans="1:4" ht="12">
      <c r="A20" s="140" t="s">
        <v>404</v>
      </c>
      <c r="B20" s="119">
        <v>0.9</v>
      </c>
      <c r="C20" s="143" t="s">
        <v>405</v>
      </c>
      <c r="D20" s="101"/>
    </row>
    <row r="21" spans="1:4" ht="13.5">
      <c r="A21" s="140" t="s">
        <v>200</v>
      </c>
      <c r="B21" s="149">
        <f>B19*B20</f>
        <v>1588.2352941176468</v>
      </c>
      <c r="C21" s="144" t="s">
        <v>44</v>
      </c>
      <c r="D21" s="99"/>
    </row>
    <row r="22" spans="1:4" ht="12">
      <c r="A22" s="140" t="s">
        <v>300</v>
      </c>
      <c r="B22" s="119">
        <v>0.9</v>
      </c>
      <c r="C22" s="143" t="s">
        <v>405</v>
      </c>
      <c r="D22" s="101"/>
    </row>
    <row r="23" spans="1:4" ht="12">
      <c r="A23" s="142" t="s">
        <v>27</v>
      </c>
      <c r="B23" s="303">
        <v>0.03</v>
      </c>
      <c r="C23" s="142" t="s">
        <v>384</v>
      </c>
      <c r="D23" s="99"/>
    </row>
    <row r="24" ht="16.5" customHeight="1"/>
    <row r="25" ht="16.5" customHeight="1">
      <c r="A25" s="59"/>
    </row>
    <row r="26" ht="16.5" customHeight="1">
      <c r="B26" s="60"/>
    </row>
    <row r="27" ht="16.5" customHeight="1"/>
    <row r="28" ht="16.5" customHeight="1">
      <c r="B28" s="60"/>
    </row>
    <row r="29" ht="16.5" customHeight="1"/>
    <row r="30" ht="16.5" customHeight="1"/>
    <row r="31" ht="16.5" customHeight="1"/>
    <row r="32" ht="16.5" customHeight="1">
      <c r="C32" s="61"/>
    </row>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sheetData>
  <sheetProtection/>
  <printOptions/>
  <pageMargins left="0.7" right="0.7" top="0.75" bottom="0.75" header="0.3" footer="0.3"/>
  <pageSetup horizontalDpi="600" verticalDpi="600" orientation="portrait"/>
</worksheet>
</file>

<file path=xl/worksheets/sheet10.xml><?xml version="1.0" encoding="utf-8"?>
<worksheet xmlns="http://schemas.openxmlformats.org/spreadsheetml/2006/main" xmlns:r="http://schemas.openxmlformats.org/officeDocument/2006/relationships">
  <sheetPr>
    <tabColor indexed="32"/>
  </sheetPr>
  <dimension ref="A1:I15"/>
  <sheetViews>
    <sheetView zoomScale="101" zoomScaleNormal="101" workbookViewId="0" topLeftCell="A1">
      <selection activeCell="G11" sqref="F11:G11"/>
    </sheetView>
  </sheetViews>
  <sheetFormatPr defaultColWidth="8.8515625" defaultRowHeight="15" customHeight="1"/>
  <cols>
    <col min="1" max="1" width="23.00390625" style="0" customWidth="1"/>
    <col min="2" max="2" width="11.28125" style="0" customWidth="1"/>
    <col min="3" max="3" width="14.28125" style="0" customWidth="1"/>
    <col min="4" max="4" width="10.7109375" style="0" customWidth="1"/>
    <col min="5" max="5" width="12.8515625" style="0" customWidth="1"/>
    <col min="6" max="6" width="16.140625" style="0" customWidth="1"/>
    <col min="7" max="7" width="13.28125" style="0" bestFit="1" customWidth="1"/>
    <col min="8" max="8" width="10.421875" style="0" customWidth="1"/>
    <col min="9" max="9" width="12.421875" style="0" bestFit="1" customWidth="1"/>
    <col min="10" max="10" width="12.00390625" style="0" bestFit="1" customWidth="1"/>
    <col min="11" max="11" width="9.421875" style="0" bestFit="1" customWidth="1"/>
  </cols>
  <sheetData>
    <row r="1" spans="1:7" ht="15" customHeight="1">
      <c r="A1" s="396" t="s">
        <v>30</v>
      </c>
      <c r="B1" s="396"/>
      <c r="C1" s="396"/>
      <c r="D1" s="396"/>
      <c r="E1" s="396"/>
      <c r="F1" s="396"/>
      <c r="G1" s="396"/>
    </row>
    <row r="2" spans="1:7" ht="26.25" customHeight="1">
      <c r="A2" s="258"/>
      <c r="B2" s="259" t="s">
        <v>7</v>
      </c>
      <c r="C2" s="259" t="s">
        <v>50</v>
      </c>
      <c r="D2" s="259" t="s">
        <v>22</v>
      </c>
      <c r="E2" s="259" t="s">
        <v>42</v>
      </c>
      <c r="F2" s="395" t="s">
        <v>0</v>
      </c>
      <c r="G2" s="395"/>
    </row>
    <row r="3" spans="1:7" ht="15" customHeight="1">
      <c r="A3" s="258"/>
      <c r="B3" s="260" t="s">
        <v>29</v>
      </c>
      <c r="C3" s="260" t="s">
        <v>29</v>
      </c>
      <c r="D3" s="260" t="s">
        <v>29</v>
      </c>
      <c r="E3" s="260" t="s">
        <v>29</v>
      </c>
      <c r="F3" s="268" t="s">
        <v>29</v>
      </c>
      <c r="G3" s="269" t="s">
        <v>20</v>
      </c>
    </row>
    <row r="4" spans="1:9" ht="15" customHeight="1">
      <c r="A4" s="258" t="s">
        <v>77</v>
      </c>
      <c r="B4" s="261">
        <f>'Mat Mort'!B18/1000000</f>
        <v>14.06608713844889</v>
      </c>
      <c r="C4" s="261"/>
      <c r="D4" s="261"/>
      <c r="E4" s="261"/>
      <c r="F4" s="270">
        <f aca="true" t="shared" si="0" ref="F4:F9">SUM(B4:E4)</f>
        <v>14.06608713844889</v>
      </c>
      <c r="G4" s="271">
        <f aca="true" t="shared" si="1" ref="G4:G10">F4/$F$10</f>
        <v>0.08049523063511348</v>
      </c>
      <c r="I4" s="11"/>
    </row>
    <row r="5" spans="1:9" ht="15" customHeight="1">
      <c r="A5" s="258" t="s">
        <v>76</v>
      </c>
      <c r="B5" s="261">
        <f>Neonatal!B11/1000000</f>
        <v>20.71648243749741</v>
      </c>
      <c r="C5" s="261"/>
      <c r="D5" s="261"/>
      <c r="E5" s="175"/>
      <c r="F5" s="270">
        <f t="shared" si="0"/>
        <v>20.71648243749741</v>
      </c>
      <c r="G5" s="271">
        <f t="shared" si="1"/>
        <v>0.11855308554120908</v>
      </c>
      <c r="I5" s="10"/>
    </row>
    <row r="6" spans="1:9" ht="15" customHeight="1">
      <c r="A6" s="258" t="s">
        <v>139</v>
      </c>
      <c r="B6" s="261">
        <f>'NTD '!B16/1000000</f>
        <v>11.02690314791434</v>
      </c>
      <c r="C6" s="261">
        <f>('NTD '!B17+'NTD '!B18)/1000000</f>
        <v>0.6064796731352885</v>
      </c>
      <c r="D6" s="261"/>
      <c r="E6" s="262">
        <f>'NTD '!B31/1000000</f>
        <v>0.12116174399999999</v>
      </c>
      <c r="F6" s="270">
        <f t="shared" si="0"/>
        <v>11.754544565049628</v>
      </c>
      <c r="G6" s="271">
        <f t="shared" si="1"/>
        <v>0.06726709186864373</v>
      </c>
      <c r="I6" s="3"/>
    </row>
    <row r="7" spans="1:7" ht="15" customHeight="1">
      <c r="A7" s="258" t="s">
        <v>78</v>
      </c>
      <c r="B7" s="261"/>
      <c r="C7" s="261">
        <f>'IDA kids'!B13/1000000</f>
        <v>38.207506658447095</v>
      </c>
      <c r="D7" s="261"/>
      <c r="E7" s="261"/>
      <c r="F7" s="270">
        <f t="shared" si="0"/>
        <v>38.207506658447095</v>
      </c>
      <c r="G7" s="271">
        <f t="shared" si="1"/>
        <v>0.21864801704928724</v>
      </c>
    </row>
    <row r="8" spans="1:7" ht="15" customHeight="1">
      <c r="A8" s="258" t="s">
        <v>48</v>
      </c>
      <c r="B8" s="261">
        <f>VAD!B11/1000000</f>
        <v>50.96703525683246</v>
      </c>
      <c r="C8" s="261"/>
      <c r="D8" s="261"/>
      <c r="E8" s="261"/>
      <c r="F8" s="270">
        <f t="shared" si="0"/>
        <v>50.96703525683246</v>
      </c>
      <c r="G8" s="271">
        <f t="shared" si="1"/>
        <v>0.2916662763002829</v>
      </c>
    </row>
    <row r="9" spans="1:7" ht="15" customHeight="1">
      <c r="A9" s="258" t="s">
        <v>28</v>
      </c>
      <c r="B9" s="261"/>
      <c r="C9" s="261"/>
      <c r="D9" s="261">
        <f>'IDA Adults'!D20/1000000</f>
        <v>39.03269870196785</v>
      </c>
      <c r="E9" s="261"/>
      <c r="F9" s="270">
        <f t="shared" si="0"/>
        <v>39.03269870196785</v>
      </c>
      <c r="G9" s="271">
        <f t="shared" si="1"/>
        <v>0.22337029860546342</v>
      </c>
    </row>
    <row r="10" spans="1:9" ht="15" customHeight="1">
      <c r="A10" s="263" t="s">
        <v>0</v>
      </c>
      <c r="B10" s="264">
        <f>SUM(B4:B9)</f>
        <v>96.7765079806931</v>
      </c>
      <c r="C10" s="264">
        <f>SUM(C4:C9)</f>
        <v>38.813986331582385</v>
      </c>
      <c r="D10" s="264">
        <f>D9</f>
        <v>39.03269870196785</v>
      </c>
      <c r="E10" s="264"/>
      <c r="F10" s="272">
        <f>SUM(F4:F9)</f>
        <v>174.74435475824336</v>
      </c>
      <c r="G10" s="271">
        <f t="shared" si="1"/>
        <v>1</v>
      </c>
      <c r="I10" s="12"/>
    </row>
    <row r="11" spans="1:7" ht="15" customHeight="1">
      <c r="A11" s="265"/>
      <c r="B11" s="266">
        <f>B10/$F$10</f>
        <v>0.5538176504447436</v>
      </c>
      <c r="C11" s="266">
        <f>C10/$F$10</f>
        <v>0.22211868523753486</v>
      </c>
      <c r="D11" s="266">
        <f>D10/F10</f>
        <v>0.22337029860546342</v>
      </c>
      <c r="E11" s="267"/>
      <c r="F11" s="7" t="s">
        <v>36</v>
      </c>
      <c r="G11" s="9">
        <f>F10/(Econ!B16/1000000)</f>
        <v>0.008737217737912167</v>
      </c>
    </row>
    <row r="12" ht="15" customHeight="1">
      <c r="A12" s="2"/>
    </row>
    <row r="13" ht="15" customHeight="1">
      <c r="A13" s="2"/>
    </row>
    <row r="14" ht="15" customHeight="1">
      <c r="A14" s="2"/>
    </row>
    <row r="15" ht="15" customHeight="1">
      <c r="A15" s="23"/>
    </row>
  </sheetData>
  <sheetProtection/>
  <mergeCells count="2">
    <mergeCell ref="F2:G2"/>
    <mergeCell ref="A1:G1"/>
  </mergeCells>
  <printOptions/>
  <pageMargins left="0.75" right="0.75" top="1" bottom="1" header="0.5" footer="0.5"/>
  <pageSetup horizontalDpi="600" verticalDpi="600" orientation="portrait"/>
</worksheet>
</file>

<file path=xl/worksheets/sheet11.xml><?xml version="1.0" encoding="utf-8"?>
<worksheet xmlns="http://schemas.openxmlformats.org/spreadsheetml/2006/main" xmlns:r="http://schemas.openxmlformats.org/officeDocument/2006/relationships">
  <sheetPr>
    <tabColor theme="9" tint="-0.24997000396251678"/>
  </sheetPr>
  <dimension ref="A1:I20"/>
  <sheetViews>
    <sheetView zoomScale="101" zoomScaleNormal="101" workbookViewId="0" topLeftCell="A1">
      <selection activeCell="F9" sqref="F9"/>
    </sheetView>
  </sheetViews>
  <sheetFormatPr defaultColWidth="8.8515625" defaultRowHeight="12.75"/>
  <cols>
    <col min="1" max="1" width="52.00390625" style="0" customWidth="1"/>
    <col min="2" max="2" width="17.140625" style="0" customWidth="1"/>
    <col min="3" max="3" width="34.421875" style="0" bestFit="1" customWidth="1"/>
    <col min="4" max="4" width="13.28125" style="0" customWidth="1"/>
    <col min="5" max="5" width="11.140625" style="0" customWidth="1"/>
    <col min="6" max="6" width="19.421875" style="0" customWidth="1"/>
    <col min="7" max="7" width="4.421875" style="0" customWidth="1"/>
    <col min="8" max="8" width="12.28125" style="0" bestFit="1" customWidth="1"/>
    <col min="9" max="9" width="12.00390625" style="0" bestFit="1" customWidth="1"/>
    <col min="10" max="10" width="21.7109375" style="0" bestFit="1" customWidth="1"/>
  </cols>
  <sheetData>
    <row r="1" spans="1:4" ht="13.5">
      <c r="A1" s="273" t="s">
        <v>242</v>
      </c>
      <c r="B1" s="274"/>
      <c r="C1" s="275" t="s">
        <v>41</v>
      </c>
      <c r="D1" s="44"/>
    </row>
    <row r="2" spans="1:4" ht="13.5">
      <c r="A2" s="274" t="s">
        <v>354</v>
      </c>
      <c r="B2" s="277">
        <v>40</v>
      </c>
      <c r="C2" s="143" t="s">
        <v>405</v>
      </c>
      <c r="D2" s="44"/>
    </row>
    <row r="3" spans="1:4" ht="13.5">
      <c r="A3" s="274" t="s">
        <v>282</v>
      </c>
      <c r="B3" s="278">
        <v>0.5</v>
      </c>
      <c r="C3" s="143" t="s">
        <v>405</v>
      </c>
      <c r="D3" s="44"/>
    </row>
    <row r="4" spans="1:4" ht="13.5">
      <c r="A4" s="274" t="s">
        <v>222</v>
      </c>
      <c r="B4" s="279">
        <f>'Demo &amp; Health'!B10</f>
        <v>0.03</v>
      </c>
      <c r="C4" s="274" t="s">
        <v>352</v>
      </c>
      <c r="D4" s="44"/>
    </row>
    <row r="5" spans="1:4" ht="13.5">
      <c r="A5" s="274" t="s">
        <v>269</v>
      </c>
      <c r="B5" s="278">
        <v>0.05</v>
      </c>
      <c r="C5" s="276" t="s">
        <v>55</v>
      </c>
      <c r="D5" s="44"/>
    </row>
    <row r="6" spans="1:3" ht="13.5">
      <c r="A6" s="274" t="s">
        <v>202</v>
      </c>
      <c r="B6" s="278">
        <v>0</v>
      </c>
      <c r="C6" s="274" t="s">
        <v>387</v>
      </c>
    </row>
    <row r="7" spans="1:4" ht="18" customHeight="1">
      <c r="A7" s="21"/>
      <c r="B7" s="21"/>
      <c r="C7" s="21"/>
      <c r="D7" s="21"/>
    </row>
    <row r="8" spans="1:6" ht="55.5">
      <c r="A8" s="280"/>
      <c r="B8" s="281" t="s">
        <v>25</v>
      </c>
      <c r="C8" s="281" t="s">
        <v>243</v>
      </c>
      <c r="D8" s="281" t="s">
        <v>415</v>
      </c>
      <c r="E8" s="281" t="s">
        <v>283</v>
      </c>
      <c r="F8" s="281" t="s">
        <v>244</v>
      </c>
    </row>
    <row r="9" spans="1:6" ht="13.5">
      <c r="A9" s="282">
        <v>2014</v>
      </c>
      <c r="B9" s="283">
        <f>'Demo &amp; Health'!B2</f>
        <v>16500000</v>
      </c>
      <c r="C9" s="283">
        <f>B2</f>
        <v>40</v>
      </c>
      <c r="D9" s="284">
        <f>B3</f>
        <v>0.5</v>
      </c>
      <c r="E9" s="285">
        <v>0.8</v>
      </c>
      <c r="F9" s="283">
        <f>B9*D9*E9*(C9/1000)</f>
        <v>264000</v>
      </c>
    </row>
    <row r="10" spans="1:6" ht="13.5">
      <c r="A10" s="282">
        <v>2015</v>
      </c>
      <c r="B10" s="283">
        <f>B9*(1+$B$4)</f>
        <v>16995000</v>
      </c>
      <c r="C10" s="283">
        <f>C9*(1+B$6)</f>
        <v>40</v>
      </c>
      <c r="D10" s="284">
        <f>D9*(1+B$5)</f>
        <v>0.525</v>
      </c>
      <c r="E10" s="285">
        <v>0.8</v>
      </c>
      <c r="F10" s="283">
        <f aca="true" t="shared" si="0" ref="F10:F18">B10*D10*E10*(C10/1000)</f>
        <v>285516</v>
      </c>
    </row>
    <row r="11" spans="1:6" ht="13.5">
      <c r="A11" s="282">
        <v>2016</v>
      </c>
      <c r="B11" s="283">
        <f aca="true" t="shared" si="1" ref="B11:B18">B10*(1+$B$4)</f>
        <v>17504850</v>
      </c>
      <c r="C11" s="283">
        <f aca="true" t="shared" si="2" ref="C11:C18">C10*(1+B$6)</f>
        <v>40</v>
      </c>
      <c r="D11" s="284">
        <f aca="true" t="shared" si="3" ref="D11:D18">D10*(1+B$5)</f>
        <v>0.55125</v>
      </c>
      <c r="E11" s="285">
        <v>0.85</v>
      </c>
      <c r="F11" s="283">
        <f t="shared" si="0"/>
        <v>328084.65112500003</v>
      </c>
    </row>
    <row r="12" spans="1:6" ht="13.5">
      <c r="A12" s="282">
        <v>2017</v>
      </c>
      <c r="B12" s="283">
        <f t="shared" si="1"/>
        <v>18029995.5</v>
      </c>
      <c r="C12" s="283">
        <f t="shared" si="2"/>
        <v>40</v>
      </c>
      <c r="D12" s="284">
        <f t="shared" si="3"/>
        <v>0.5788125000000001</v>
      </c>
      <c r="E12" s="285">
        <v>0.85</v>
      </c>
      <c r="F12" s="283">
        <f t="shared" si="0"/>
        <v>354823.5501916875</v>
      </c>
    </row>
    <row r="13" spans="1:6" ht="13.5">
      <c r="A13" s="282">
        <v>2018</v>
      </c>
      <c r="B13" s="283">
        <f t="shared" si="1"/>
        <v>18570895.365000002</v>
      </c>
      <c r="C13" s="283">
        <f t="shared" si="2"/>
        <v>40</v>
      </c>
      <c r="D13" s="284">
        <f t="shared" si="3"/>
        <v>0.6077531250000001</v>
      </c>
      <c r="E13" s="285">
        <v>0.9</v>
      </c>
      <c r="F13" s="283">
        <f t="shared" si="0"/>
        <v>406314.7089165637</v>
      </c>
    </row>
    <row r="14" spans="1:6" ht="13.5">
      <c r="A14" s="282">
        <v>2019</v>
      </c>
      <c r="B14" s="283">
        <f t="shared" si="1"/>
        <v>19128022.225950003</v>
      </c>
      <c r="C14" s="283">
        <f t="shared" si="2"/>
        <v>40</v>
      </c>
      <c r="D14" s="284">
        <f t="shared" si="3"/>
        <v>0.6381407812500002</v>
      </c>
      <c r="E14" s="285">
        <v>0.9</v>
      </c>
      <c r="F14" s="283">
        <f t="shared" si="0"/>
        <v>439429.3576932637</v>
      </c>
    </row>
    <row r="15" spans="1:9" ht="13.5">
      <c r="A15" s="282">
        <v>2020</v>
      </c>
      <c r="B15" s="283">
        <f t="shared" si="1"/>
        <v>19701862.892728504</v>
      </c>
      <c r="C15" s="283">
        <f t="shared" si="2"/>
        <v>40</v>
      </c>
      <c r="D15" s="284">
        <f t="shared" si="3"/>
        <v>0.6700478203125002</v>
      </c>
      <c r="E15" s="285">
        <v>0.93</v>
      </c>
      <c r="F15" s="283">
        <f t="shared" si="0"/>
        <v>491084.2786901069</v>
      </c>
      <c r="I15" s="3"/>
    </row>
    <row r="16" spans="1:6" ht="13.5">
      <c r="A16" s="282">
        <v>2021</v>
      </c>
      <c r="B16" s="283">
        <f t="shared" si="1"/>
        <v>20292918.77951036</v>
      </c>
      <c r="C16" s="283">
        <f t="shared" si="2"/>
        <v>40</v>
      </c>
      <c r="D16" s="284">
        <f t="shared" si="3"/>
        <v>0.7035502113281252</v>
      </c>
      <c r="E16" s="285">
        <v>0.93</v>
      </c>
      <c r="F16" s="283">
        <f t="shared" si="0"/>
        <v>531107.6474033507</v>
      </c>
    </row>
    <row r="17" spans="1:6" ht="13.5">
      <c r="A17" s="282">
        <v>2022</v>
      </c>
      <c r="B17" s="283">
        <f t="shared" si="1"/>
        <v>20901706.34289567</v>
      </c>
      <c r="C17" s="283">
        <f t="shared" si="2"/>
        <v>40</v>
      </c>
      <c r="D17" s="284">
        <f t="shared" si="3"/>
        <v>0.7387277218945315</v>
      </c>
      <c r="E17" s="285">
        <v>0.95</v>
      </c>
      <c r="F17" s="283">
        <f t="shared" si="0"/>
        <v>586745.4565950404</v>
      </c>
    </row>
    <row r="18" spans="1:6" ht="13.5">
      <c r="A18" s="282">
        <v>2023</v>
      </c>
      <c r="B18" s="283">
        <f t="shared" si="1"/>
        <v>21528757.533182543</v>
      </c>
      <c r="C18" s="283">
        <f t="shared" si="2"/>
        <v>40</v>
      </c>
      <c r="D18" s="284">
        <f t="shared" si="3"/>
        <v>0.7756641079892581</v>
      </c>
      <c r="E18" s="285">
        <v>0.95</v>
      </c>
      <c r="F18" s="283">
        <f t="shared" si="0"/>
        <v>634565.2113075361</v>
      </c>
    </row>
    <row r="20" ht="12">
      <c r="C20" s="3"/>
    </row>
  </sheetData>
  <sheetProtection/>
  <printOptions/>
  <pageMargins left="0.7" right="0.7" top="0.75" bottom="0.75" header="0.3" footer="0.3"/>
  <pageSetup orientation="portrait"/>
</worksheet>
</file>

<file path=xl/worksheets/sheet12.xml><?xml version="1.0" encoding="utf-8"?>
<worksheet xmlns="http://schemas.openxmlformats.org/spreadsheetml/2006/main" xmlns:r="http://schemas.openxmlformats.org/officeDocument/2006/relationships">
  <sheetPr>
    <tabColor theme="9" tint="-0.24997000396251678"/>
  </sheetPr>
  <dimension ref="A1:F46"/>
  <sheetViews>
    <sheetView zoomScale="101" zoomScaleNormal="101" workbookViewId="0" topLeftCell="A1">
      <selection activeCell="D40" sqref="D40"/>
    </sheetView>
  </sheetViews>
  <sheetFormatPr defaultColWidth="11.57421875" defaultRowHeight="12.75"/>
  <cols>
    <col min="1" max="1" width="45.7109375" style="4" customWidth="1"/>
    <col min="2" max="2" width="22.8515625" style="4" customWidth="1"/>
    <col min="3" max="3" width="52.7109375" style="4" bestFit="1" customWidth="1"/>
    <col min="4" max="4" width="57.8515625" style="4" bestFit="1" customWidth="1"/>
    <col min="5" max="5" width="5.28125" style="4" customWidth="1"/>
    <col min="6" max="6" width="20.421875" style="4" bestFit="1" customWidth="1"/>
    <col min="7" max="7" width="5.00390625" style="4" customWidth="1"/>
    <col min="8" max="8" width="3.7109375" style="4" customWidth="1"/>
    <col min="9" max="16384" width="11.421875" style="4" customWidth="1"/>
  </cols>
  <sheetData>
    <row r="1" spans="1:4" ht="12">
      <c r="A1" s="193" t="s">
        <v>254</v>
      </c>
      <c r="B1" s="154"/>
      <c r="C1" s="193" t="s">
        <v>41</v>
      </c>
      <c r="D1" s="77"/>
    </row>
    <row r="2" spans="1:4" ht="12">
      <c r="A2" s="154" t="s">
        <v>358</v>
      </c>
      <c r="B2" s="201">
        <f>'Cons Cov'!B2*1000/365</f>
        <v>109.58904109589041</v>
      </c>
      <c r="C2" s="154" t="s">
        <v>416</v>
      </c>
      <c r="D2" s="77"/>
    </row>
    <row r="3" spans="1:4" ht="12">
      <c r="A3" s="154" t="s">
        <v>355</v>
      </c>
      <c r="B3" s="298">
        <v>0.37</v>
      </c>
      <c r="C3" s="154" t="s">
        <v>359</v>
      </c>
      <c r="D3" s="45"/>
    </row>
    <row r="4" spans="1:4" ht="12">
      <c r="A4" s="154" t="s">
        <v>356</v>
      </c>
      <c r="B4" s="298">
        <v>0.47</v>
      </c>
      <c r="C4" s="154" t="str">
        <f>C3</f>
        <v>From National Statistics or Assume as % Calorie Needs</v>
      </c>
      <c r="D4" s="45"/>
    </row>
    <row r="5" spans="1:4" ht="12">
      <c r="A5" s="154" t="s">
        <v>357</v>
      </c>
      <c r="B5" s="299">
        <f>B2*((B3+B4)/2)</f>
        <v>46.02739726027397</v>
      </c>
      <c r="C5" s="154" t="s">
        <v>417</v>
      </c>
      <c r="D5" s="77"/>
    </row>
    <row r="6" spans="1:4" ht="8.25" customHeight="1">
      <c r="A6" s="300"/>
      <c r="B6" s="300"/>
      <c r="C6" s="300"/>
      <c r="D6" s="77"/>
    </row>
    <row r="7" spans="1:4" ht="12">
      <c r="A7" s="187" t="s">
        <v>80</v>
      </c>
      <c r="B7" s="196"/>
      <c r="C7" s="196"/>
      <c r="D7" s="80"/>
    </row>
    <row r="8" spans="1:4" ht="12">
      <c r="A8" s="187" t="s">
        <v>204</v>
      </c>
      <c r="B8" s="196"/>
      <c r="C8" s="196"/>
      <c r="D8" s="77"/>
    </row>
    <row r="9" spans="1:4" ht="24">
      <c r="A9" s="196" t="s">
        <v>81</v>
      </c>
      <c r="B9" s="297">
        <v>60</v>
      </c>
      <c r="C9" s="286" t="s">
        <v>418</v>
      </c>
      <c r="D9" s="45"/>
    </row>
    <row r="10" spans="1:4" ht="12">
      <c r="A10" s="189" t="s">
        <v>362</v>
      </c>
      <c r="B10" s="301">
        <f>(B2*B9/1000)</f>
        <v>6.575342465753424</v>
      </c>
      <c r="C10" s="196" t="s">
        <v>388</v>
      </c>
      <c r="D10" s="45"/>
    </row>
    <row r="11" spans="1:4" ht="12">
      <c r="A11" s="189" t="s">
        <v>360</v>
      </c>
      <c r="B11" s="310">
        <v>13.2</v>
      </c>
      <c r="C11" s="196" t="s">
        <v>206</v>
      </c>
      <c r="D11" s="77"/>
    </row>
    <row r="12" spans="1:4" ht="12">
      <c r="A12" s="189" t="s">
        <v>83</v>
      </c>
      <c r="B12" s="294">
        <f>B10/B11</f>
        <v>0.49813200498132004</v>
      </c>
      <c r="C12" s="196" t="s">
        <v>44</v>
      </c>
      <c r="D12" s="77"/>
    </row>
    <row r="13" spans="1:4" ht="12">
      <c r="A13" s="189" t="s">
        <v>361</v>
      </c>
      <c r="B13" s="311">
        <v>29.4</v>
      </c>
      <c r="C13" s="196" t="s">
        <v>82</v>
      </c>
      <c r="D13" s="77"/>
    </row>
    <row r="14" spans="1:4" ht="12">
      <c r="A14" s="189" t="s">
        <v>85</v>
      </c>
      <c r="B14" s="294">
        <f>B10/B13</f>
        <v>0.22365110427732737</v>
      </c>
      <c r="C14" s="196" t="s">
        <v>245</v>
      </c>
      <c r="D14" s="77"/>
    </row>
    <row r="15" spans="1:4" ht="12">
      <c r="A15" s="187" t="s">
        <v>203</v>
      </c>
      <c r="B15" s="294"/>
      <c r="C15" s="196"/>
      <c r="D15" s="77"/>
    </row>
    <row r="16" spans="1:4" ht="12">
      <c r="A16" s="189" t="s">
        <v>363</v>
      </c>
      <c r="B16" s="302">
        <f>B5*B9/1000</f>
        <v>2.761643835616438</v>
      </c>
      <c r="C16" s="196" t="s">
        <v>44</v>
      </c>
      <c r="D16" s="77"/>
    </row>
    <row r="17" spans="1:4" ht="12">
      <c r="A17" s="189" t="s">
        <v>84</v>
      </c>
      <c r="B17" s="311">
        <f>(5.8+6.3)/2</f>
        <v>6.05</v>
      </c>
      <c r="C17" s="196" t="s">
        <v>371</v>
      </c>
      <c r="D17" s="77"/>
    </row>
    <row r="18" spans="1:4" ht="12">
      <c r="A18" s="189" t="s">
        <v>85</v>
      </c>
      <c r="B18" s="294">
        <f>B16/B17</f>
        <v>0.45647005547379144</v>
      </c>
      <c r="C18" s="196" t="s">
        <v>44</v>
      </c>
      <c r="D18" s="77"/>
    </row>
    <row r="19" spans="1:4" ht="8.25" customHeight="1">
      <c r="A19" s="30"/>
      <c r="B19" s="79"/>
      <c r="C19" s="79"/>
      <c r="D19" s="77"/>
    </row>
    <row r="20" spans="1:4" ht="12">
      <c r="A20" s="187" t="s">
        <v>389</v>
      </c>
      <c r="B20" s="196"/>
      <c r="C20" s="196"/>
      <c r="D20" s="80"/>
    </row>
    <row r="21" spans="1:4" ht="12">
      <c r="A21" s="196" t="s">
        <v>86</v>
      </c>
      <c r="B21" s="297">
        <v>2</v>
      </c>
      <c r="C21" s="286" t="s">
        <v>89</v>
      </c>
      <c r="D21" s="77"/>
    </row>
    <row r="22" spans="1:4" ht="24">
      <c r="A22" s="196" t="s">
        <v>118</v>
      </c>
      <c r="B22" s="312">
        <v>0.8</v>
      </c>
      <c r="C22" s="286" t="s">
        <v>419</v>
      </c>
      <c r="D22" s="80"/>
    </row>
    <row r="23" spans="1:4" ht="12">
      <c r="A23" s="189" t="s">
        <v>364</v>
      </c>
      <c r="B23" s="152">
        <f>B21*B2*B22</f>
        <v>175.34246575342468</v>
      </c>
      <c r="C23" s="196" t="s">
        <v>44</v>
      </c>
      <c r="D23" s="77"/>
    </row>
    <row r="24" spans="1:4" ht="12">
      <c r="A24" s="189" t="s">
        <v>367</v>
      </c>
      <c r="B24" s="310">
        <v>320</v>
      </c>
      <c r="C24" s="196" t="s">
        <v>87</v>
      </c>
      <c r="D24" s="77"/>
    </row>
    <row r="25" spans="1:4" ht="12">
      <c r="A25" s="189" t="s">
        <v>83</v>
      </c>
      <c r="B25" s="294">
        <f>(B23/B24)</f>
        <v>0.5479452054794521</v>
      </c>
      <c r="C25" s="196" t="s">
        <v>44</v>
      </c>
      <c r="D25" s="77"/>
    </row>
    <row r="26" spans="1:4" ht="12">
      <c r="A26" s="189" t="s">
        <v>366</v>
      </c>
      <c r="B26" s="313">
        <v>400</v>
      </c>
      <c r="C26" s="196" t="s">
        <v>87</v>
      </c>
      <c r="D26" s="77"/>
    </row>
    <row r="27" spans="1:4" ht="12">
      <c r="A27" s="189" t="s">
        <v>85</v>
      </c>
      <c r="B27" s="294">
        <f>B23/B26</f>
        <v>0.4383561643835617</v>
      </c>
      <c r="C27" s="196" t="s">
        <v>44</v>
      </c>
      <c r="D27" s="77"/>
    </row>
    <row r="28" spans="1:4" ht="9" customHeight="1">
      <c r="A28" s="78"/>
      <c r="B28" s="78"/>
      <c r="C28" s="78"/>
      <c r="D28" s="2"/>
    </row>
    <row r="29" spans="1:4" ht="12">
      <c r="A29" s="187" t="s">
        <v>390</v>
      </c>
      <c r="B29" s="294"/>
      <c r="C29" s="196"/>
      <c r="D29" s="77"/>
    </row>
    <row r="30" spans="1:4" ht="12">
      <c r="A30" s="196" t="s">
        <v>119</v>
      </c>
      <c r="B30" s="295">
        <v>1</v>
      </c>
      <c r="C30" s="286" t="s">
        <v>89</v>
      </c>
      <c r="D30" s="77"/>
    </row>
    <row r="31" spans="1:4" ht="24">
      <c r="A31" s="196" t="s">
        <v>118</v>
      </c>
      <c r="B31" s="312">
        <v>0.7</v>
      </c>
      <c r="C31" s="286" t="s">
        <v>419</v>
      </c>
      <c r="D31" s="80"/>
    </row>
    <row r="32" spans="1:4" ht="12">
      <c r="A32" s="189" t="s">
        <v>205</v>
      </c>
      <c r="B32" s="296">
        <f>B5*B30*B31</f>
        <v>32.21917808219178</v>
      </c>
      <c r="C32" s="196" t="s">
        <v>44</v>
      </c>
      <c r="D32" s="77"/>
    </row>
    <row r="33" spans="1:4" ht="12">
      <c r="A33" s="189" t="s">
        <v>365</v>
      </c>
      <c r="B33" s="314">
        <f>(286+321)/2</f>
        <v>303.5</v>
      </c>
      <c r="C33" s="196" t="s">
        <v>87</v>
      </c>
      <c r="D33" s="77"/>
    </row>
    <row r="34" spans="1:4" ht="12">
      <c r="A34" s="189" t="s">
        <v>83</v>
      </c>
      <c r="B34" s="294">
        <f>B32/B33</f>
        <v>0.10615874162171922</v>
      </c>
      <c r="C34" s="196" t="s">
        <v>44</v>
      </c>
      <c r="D34" s="77"/>
    </row>
    <row r="35" spans="1:4" ht="12">
      <c r="A35" s="189" t="s">
        <v>368</v>
      </c>
      <c r="B35" s="314">
        <f>(400+450)/2</f>
        <v>425</v>
      </c>
      <c r="C35" s="196" t="s">
        <v>87</v>
      </c>
      <c r="D35" s="77"/>
    </row>
    <row r="36" spans="1:4" ht="12">
      <c r="A36" s="189" t="s">
        <v>85</v>
      </c>
      <c r="B36" s="294">
        <f>B32/B35</f>
        <v>0.07580983078162772</v>
      </c>
      <c r="C36" s="196" t="s">
        <v>44</v>
      </c>
      <c r="D36" s="77"/>
    </row>
    <row r="37" spans="1:4" ht="12">
      <c r="A37" s="78"/>
      <c r="B37" s="78"/>
      <c r="C37" s="78"/>
      <c r="D37" s="77"/>
    </row>
    <row r="38" spans="1:4" ht="24">
      <c r="A38" s="193" t="s">
        <v>223</v>
      </c>
      <c r="B38" s="287" t="s">
        <v>369</v>
      </c>
      <c r="C38" s="288" t="s">
        <v>235</v>
      </c>
      <c r="D38" s="193" t="s">
        <v>284</v>
      </c>
    </row>
    <row r="39" spans="1:6" ht="12">
      <c r="A39" s="154" t="s">
        <v>210</v>
      </c>
      <c r="B39" s="289">
        <f>'Cons Cov'!B3*'Cons Cov'!E9</f>
        <v>0.4</v>
      </c>
      <c r="C39" s="290">
        <v>0.3</v>
      </c>
      <c r="D39" s="154"/>
      <c r="E39" s="45"/>
      <c r="F39" s="29"/>
    </row>
    <row r="40" spans="1:5" ht="12">
      <c r="A40" s="154" t="s">
        <v>211</v>
      </c>
      <c r="B40" s="289">
        <f>B39</f>
        <v>0.4</v>
      </c>
      <c r="C40" s="290">
        <v>0.1</v>
      </c>
      <c r="D40" s="154"/>
      <c r="E40" s="45"/>
    </row>
    <row r="41" spans="1:5" ht="12">
      <c r="A41" s="154" t="s">
        <v>212</v>
      </c>
      <c r="B41" s="289">
        <f>B40</f>
        <v>0.4</v>
      </c>
      <c r="C41" s="290">
        <v>0.2</v>
      </c>
      <c r="D41" s="154"/>
      <c r="E41" s="45"/>
    </row>
    <row r="42" spans="1:5" ht="12">
      <c r="A42" s="154" t="s">
        <v>213</v>
      </c>
      <c r="B42" s="289">
        <f>B41</f>
        <v>0.4</v>
      </c>
      <c r="C42" s="290">
        <v>0.5</v>
      </c>
      <c r="D42" s="154"/>
      <c r="E42" s="45"/>
    </row>
    <row r="43" spans="1:5" ht="12">
      <c r="A43" s="291" t="s">
        <v>370</v>
      </c>
      <c r="B43" s="292">
        <f>B42</f>
        <v>0.4</v>
      </c>
      <c r="C43" s="293">
        <v>0.05</v>
      </c>
      <c r="D43" s="154"/>
      <c r="E43" s="45"/>
    </row>
    <row r="44" spans="1:4" ht="9" customHeight="1">
      <c r="A44" s="77"/>
      <c r="B44" s="77"/>
      <c r="C44" s="77"/>
      <c r="D44" s="77"/>
    </row>
    <row r="45" spans="1:4" ht="12">
      <c r="A45" s="198" t="s">
        <v>208</v>
      </c>
      <c r="B45" s="208"/>
      <c r="C45" s="77"/>
      <c r="D45" s="77"/>
    </row>
    <row r="46" spans="1:5" ht="13.5">
      <c r="A46" s="198" t="s">
        <v>207</v>
      </c>
      <c r="B46" s="198"/>
      <c r="C46" s="198"/>
      <c r="D46" s="198"/>
      <c r="E46" s="170"/>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sheetPr>
    <tabColor theme="3"/>
  </sheetPr>
  <dimension ref="A1:E7"/>
  <sheetViews>
    <sheetView zoomScale="98" zoomScaleNormal="98" workbookViewId="0" topLeftCell="A1">
      <selection activeCell="G6" sqref="G6:G7"/>
    </sheetView>
  </sheetViews>
  <sheetFormatPr defaultColWidth="8.8515625" defaultRowHeight="12.75"/>
  <cols>
    <col min="1" max="1" width="18.7109375" style="0" bestFit="1" customWidth="1"/>
    <col min="2" max="2" width="8.00390625" style="0" bestFit="1" customWidth="1"/>
    <col min="3" max="3" width="9.00390625" style="0" bestFit="1" customWidth="1"/>
    <col min="4" max="4" width="10.421875" style="0" bestFit="1" customWidth="1"/>
  </cols>
  <sheetData>
    <row r="1" spans="1:5" ht="12">
      <c r="A1" s="315" t="s">
        <v>154</v>
      </c>
      <c r="B1" s="316">
        <v>2014</v>
      </c>
      <c r="C1" s="294" t="s">
        <v>252</v>
      </c>
      <c r="D1" s="154" t="s">
        <v>256</v>
      </c>
      <c r="E1" s="154" t="s">
        <v>373</v>
      </c>
    </row>
    <row r="2" spans="1:5" ht="12">
      <c r="A2" s="317" t="s">
        <v>77</v>
      </c>
      <c r="B2" s="318">
        <f>'Mat Mort'!B14</f>
        <v>552.4277769413145</v>
      </c>
      <c r="C2" s="319">
        <f>'Mat Mort'!C44</f>
        <v>5779.616815978711</v>
      </c>
      <c r="D2" s="320">
        <f>C2*'SUM Fin Ben'!M14</f>
        <v>326.5248738477127</v>
      </c>
      <c r="E2" s="289">
        <f>D2/C2</f>
        <v>0.05649593809488899</v>
      </c>
    </row>
    <row r="3" spans="1:5" ht="12">
      <c r="A3" s="321" t="s">
        <v>76</v>
      </c>
      <c r="B3" s="318">
        <f>Neonatal!B7</f>
        <v>1446.2850686215077</v>
      </c>
      <c r="C3" s="319">
        <f>Neonatal!C24</f>
        <v>15131.34178296719</v>
      </c>
      <c r="D3" s="320">
        <f>C3*'SUM Fin Ben'!I14</f>
        <v>854.8593486631219</v>
      </c>
      <c r="E3" s="289">
        <f>D3/C3</f>
        <v>0.05649593809488901</v>
      </c>
    </row>
    <row r="4" spans="1:5" ht="12">
      <c r="A4" s="321" t="s">
        <v>345</v>
      </c>
      <c r="B4" s="318">
        <f>'NTD '!B7</f>
        <v>769.8240000000001</v>
      </c>
      <c r="C4" s="319">
        <f>'NTD '!C44</f>
        <v>8054.062307255512</v>
      </c>
      <c r="D4" s="320">
        <f>C4*'SUM Fin Ben'!E29</f>
        <v>2275.1090276154314</v>
      </c>
      <c r="E4" s="289">
        <f>D4/C4</f>
        <v>0.282479690474445</v>
      </c>
    </row>
    <row r="5" spans="1:5" ht="12">
      <c r="A5" s="321" t="s">
        <v>48</v>
      </c>
      <c r="B5" s="318">
        <f>VAD!B7</f>
        <v>3130.9615384615395</v>
      </c>
      <c r="C5" s="319">
        <f>VAD!C24</f>
        <v>32756.785073458097</v>
      </c>
      <c r="D5" s="320">
        <f>(C5*'SUM Fin Ben'!E14)</f>
        <v>925.3126508488365</v>
      </c>
      <c r="E5" s="289">
        <f>D5/C5</f>
        <v>0.028247969047444504</v>
      </c>
    </row>
    <row r="6" spans="1:5" ht="12">
      <c r="A6" s="322" t="s">
        <v>189</v>
      </c>
      <c r="B6" s="161">
        <f>SUM(B2:B5)</f>
        <v>5899.498384024362</v>
      </c>
      <c r="C6" s="323">
        <f>SUM(C2:C5)</f>
        <v>61721.805979659504</v>
      </c>
      <c r="D6" s="320">
        <f>SUM(D2:D5)</f>
        <v>4381.805900975102</v>
      </c>
      <c r="E6" s="289">
        <f>D6/C6</f>
        <v>0.07099283359302759</v>
      </c>
    </row>
    <row r="7" spans="1:5" ht="12">
      <c r="A7" s="315" t="s">
        <v>372</v>
      </c>
      <c r="B7" s="161">
        <f>B3+B4+B5</f>
        <v>5347.070607083047</v>
      </c>
      <c r="C7" s="161">
        <f>C3+C4+C5</f>
        <v>55942.1891636808</v>
      </c>
      <c r="D7" s="154"/>
      <c r="E7" s="154"/>
    </row>
  </sheetData>
  <sheetProtection/>
  <printOptions/>
  <pageMargins left="0.7" right="0.7" top="0.75" bottom="0.75" header="0.3" footer="0.3"/>
  <pageSetup orientation="portrait"/>
</worksheet>
</file>

<file path=xl/worksheets/sheet14.xml><?xml version="1.0" encoding="utf-8"?>
<worksheet xmlns="http://schemas.openxmlformats.org/spreadsheetml/2006/main" xmlns:r="http://schemas.openxmlformats.org/officeDocument/2006/relationships">
  <sheetPr>
    <tabColor theme="3"/>
  </sheetPr>
  <dimension ref="A1:M41"/>
  <sheetViews>
    <sheetView zoomScale="98" zoomScaleNormal="98" workbookViewId="0" topLeftCell="A8">
      <selection activeCell="H34" sqref="H34"/>
    </sheetView>
  </sheetViews>
  <sheetFormatPr defaultColWidth="8.8515625" defaultRowHeight="12.75"/>
  <cols>
    <col min="1" max="1" width="6.7109375" style="0" bestFit="1" customWidth="1"/>
    <col min="2" max="2" width="13.7109375" style="20" bestFit="1" customWidth="1"/>
    <col min="3" max="3" width="11.7109375" style="20" bestFit="1" customWidth="1"/>
    <col min="4" max="4" width="8.8515625" style="20" customWidth="1"/>
    <col min="5" max="5" width="9.421875" style="0" bestFit="1" customWidth="1"/>
    <col min="6" max="6" width="9.00390625" style="0" bestFit="1" customWidth="1"/>
    <col min="7" max="7" width="8.7109375" style="0" bestFit="1" customWidth="1"/>
    <col min="8" max="9" width="8.28125" style="0" bestFit="1" customWidth="1"/>
    <col min="10" max="10" width="9.00390625" style="0" bestFit="1" customWidth="1"/>
    <col min="11" max="11" width="8.7109375" style="0" bestFit="1" customWidth="1"/>
    <col min="12" max="12" width="8.28125" style="0" bestFit="1" customWidth="1"/>
    <col min="13" max="14" width="11.7109375" style="0" bestFit="1" customWidth="1"/>
    <col min="15" max="15" width="9.8515625" style="0" bestFit="1" customWidth="1"/>
  </cols>
  <sheetData>
    <row r="1" spans="1:13" ht="13.5">
      <c r="A1" s="274"/>
      <c r="B1" s="397" t="s">
        <v>48</v>
      </c>
      <c r="C1" s="398"/>
      <c r="D1" s="398"/>
      <c r="E1" s="399"/>
      <c r="F1" s="400" t="s">
        <v>141</v>
      </c>
      <c r="G1" s="401"/>
      <c r="H1" s="401"/>
      <c r="I1" s="402"/>
      <c r="J1" s="400" t="s">
        <v>142</v>
      </c>
      <c r="K1" s="401"/>
      <c r="L1" s="401"/>
      <c r="M1" s="402"/>
    </row>
    <row r="2" spans="1:13" ht="13.5">
      <c r="A2" s="274"/>
      <c r="B2" s="330" t="s">
        <v>231</v>
      </c>
      <c r="C2" s="330" t="s">
        <v>229</v>
      </c>
      <c r="D2" s="330" t="s">
        <v>230</v>
      </c>
      <c r="E2" s="331" t="s">
        <v>0</v>
      </c>
      <c r="F2" s="330" t="s">
        <v>231</v>
      </c>
      <c r="G2" s="330" t="s">
        <v>229</v>
      </c>
      <c r="H2" s="330" t="s">
        <v>230</v>
      </c>
      <c r="I2" s="331" t="s">
        <v>0</v>
      </c>
      <c r="J2" s="330" t="s">
        <v>231</v>
      </c>
      <c r="K2" s="330" t="s">
        <v>229</v>
      </c>
      <c r="L2" s="330" t="s">
        <v>230</v>
      </c>
      <c r="M2" s="331" t="s">
        <v>0</v>
      </c>
    </row>
    <row r="3" spans="1:13" ht="13.5">
      <c r="A3" s="332">
        <v>2014</v>
      </c>
      <c r="B3" s="338">
        <f>VAD!B14/1000000</f>
        <v>50.96703525683246</v>
      </c>
      <c r="C3" s="339">
        <f>'Cons Cov'!D9*'Cons Cov'!E9</f>
        <v>0.4</v>
      </c>
      <c r="D3" s="340">
        <f>'Effect Est'!C$43</f>
        <v>0.05</v>
      </c>
      <c r="E3" s="335">
        <f>B3*C3*D3</f>
        <v>1.0193407051366492</v>
      </c>
      <c r="F3" s="333">
        <f>Neonatal!B14/1000000</f>
        <v>20.71648243749741</v>
      </c>
      <c r="G3" s="341">
        <f>C3</f>
        <v>0.4</v>
      </c>
      <c r="H3" s="341">
        <f>'Effect Est'!C$40</f>
        <v>0.1</v>
      </c>
      <c r="I3" s="342">
        <f>F3*G3*H3</f>
        <v>0.8286592974998966</v>
      </c>
      <c r="J3" s="333">
        <f>'Mat Mort'!B34/1000000</f>
        <v>14.06608713844889</v>
      </c>
      <c r="K3" s="341">
        <f>G3</f>
        <v>0.4</v>
      </c>
      <c r="L3" s="341">
        <f>H3</f>
        <v>0.1</v>
      </c>
      <c r="M3" s="337">
        <f>J3*K3*L3</f>
        <v>0.5626434855379556</v>
      </c>
    </row>
    <row r="4" spans="1:13" ht="13.5">
      <c r="A4" s="332">
        <v>2015</v>
      </c>
      <c r="B4" s="338">
        <f>VAD!B15/1000000</f>
        <v>51.47670560940079</v>
      </c>
      <c r="C4" s="339">
        <f>'Cons Cov'!D10*'Cons Cov'!E10</f>
        <v>0.42000000000000004</v>
      </c>
      <c r="D4" s="340">
        <f>'Effect Est'!C$43</f>
        <v>0.05</v>
      </c>
      <c r="E4" s="335">
        <f aca="true" t="shared" si="0" ref="E4:E12">B4*C4*D4</f>
        <v>1.0810108177974167</v>
      </c>
      <c r="F4" s="333">
        <f>Neonatal!B15/1000000</f>
        <v>20.923647261872386</v>
      </c>
      <c r="G4" s="341">
        <f aca="true" t="shared" si="1" ref="G4:G12">C4</f>
        <v>0.42000000000000004</v>
      </c>
      <c r="H4" s="341">
        <f>'Effect Est'!C$40</f>
        <v>0.1</v>
      </c>
      <c r="I4" s="342">
        <f aca="true" t="shared" si="2" ref="I4:I12">F4*G4*H4</f>
        <v>0.8787931849986403</v>
      </c>
      <c r="J4" s="333">
        <f>'Mat Mort'!B35/1000000</f>
        <v>14.206748009833376</v>
      </c>
      <c r="K4" s="341">
        <f aca="true" t="shared" si="3" ref="K4:K12">G4</f>
        <v>0.42000000000000004</v>
      </c>
      <c r="L4" s="341">
        <f aca="true" t="shared" si="4" ref="L4:L12">H4</f>
        <v>0.1</v>
      </c>
      <c r="M4" s="337">
        <f aca="true" t="shared" si="5" ref="M4:M12">J4*K4*L4</f>
        <v>0.5966834164130018</v>
      </c>
    </row>
    <row r="5" spans="1:13" ht="13.5">
      <c r="A5" s="332">
        <v>2016</v>
      </c>
      <c r="B5" s="338">
        <f>VAD!B16/1000000</f>
        <v>51.99147266549479</v>
      </c>
      <c r="C5" s="339">
        <f>'Cons Cov'!D11*'Cons Cov'!E11</f>
        <v>0.4685625</v>
      </c>
      <c r="D5" s="340">
        <f>'Effect Est'!C$43</f>
        <v>0.05</v>
      </c>
      <c r="E5" s="335">
        <f t="shared" si="0"/>
        <v>1.2180627205412953</v>
      </c>
      <c r="F5" s="333">
        <f>Neonatal!B16/1000000</f>
        <v>21.13288373449111</v>
      </c>
      <c r="G5" s="341">
        <f t="shared" si="1"/>
        <v>0.4685625</v>
      </c>
      <c r="H5" s="341">
        <f>'Effect Est'!C$40</f>
        <v>0.1</v>
      </c>
      <c r="I5" s="342">
        <f t="shared" si="2"/>
        <v>0.990207683484249</v>
      </c>
      <c r="J5" s="333">
        <f>'Mat Mort'!B36/1000000</f>
        <v>14.34881548993171</v>
      </c>
      <c r="K5" s="341">
        <f t="shared" si="3"/>
        <v>0.4685625</v>
      </c>
      <c r="L5" s="341">
        <f t="shared" si="4"/>
        <v>0.1</v>
      </c>
      <c r="M5" s="337">
        <f t="shared" si="5"/>
        <v>0.6723316858001127</v>
      </c>
    </row>
    <row r="6" spans="1:13" ht="13.5">
      <c r="A6" s="332">
        <v>2017</v>
      </c>
      <c r="B6" s="338">
        <f>VAD!B17/1000000</f>
        <v>52.511387392149736</v>
      </c>
      <c r="C6" s="339">
        <f>'Cons Cov'!D12*'Cons Cov'!E12</f>
        <v>0.491990625</v>
      </c>
      <c r="D6" s="340">
        <f>'Effect Est'!C$43</f>
        <v>0.05</v>
      </c>
      <c r="E6" s="335">
        <f t="shared" si="0"/>
        <v>1.2917555151340436</v>
      </c>
      <c r="F6" s="333">
        <f>Neonatal!B17/1000000</f>
        <v>21.34421257183602</v>
      </c>
      <c r="G6" s="341">
        <f t="shared" si="1"/>
        <v>0.491990625</v>
      </c>
      <c r="H6" s="341">
        <f>'Effect Est'!C$40</f>
        <v>0.1</v>
      </c>
      <c r="I6" s="342">
        <f t="shared" si="2"/>
        <v>1.0501152483350462</v>
      </c>
      <c r="J6" s="333">
        <f>'Mat Mort'!B37/1000000</f>
        <v>14.492303644831027</v>
      </c>
      <c r="K6" s="341">
        <f t="shared" si="3"/>
        <v>0.491990625</v>
      </c>
      <c r="L6" s="341">
        <f t="shared" si="4"/>
        <v>0.1</v>
      </c>
      <c r="M6" s="337">
        <f t="shared" si="5"/>
        <v>0.7130077527910196</v>
      </c>
    </row>
    <row r="7" spans="1:13" ht="13.5">
      <c r="A7" s="332">
        <v>2018</v>
      </c>
      <c r="B7" s="338">
        <f>VAD!B18/1000000</f>
        <v>53.03650126607124</v>
      </c>
      <c r="C7" s="339">
        <f>'Cons Cov'!D13*'Cons Cov'!E13</f>
        <v>0.5469778125000001</v>
      </c>
      <c r="D7" s="340">
        <f>'Effect Est'!C$43</f>
        <v>0.05</v>
      </c>
      <c r="E7" s="335">
        <f t="shared" si="0"/>
        <v>1.4504894722584567</v>
      </c>
      <c r="F7" s="333">
        <f>Neonatal!B18/1000000</f>
        <v>21.55765469755438</v>
      </c>
      <c r="G7" s="341">
        <f t="shared" si="1"/>
        <v>0.5469778125000001</v>
      </c>
      <c r="H7" s="341">
        <f>'Effect Est'!C$40</f>
        <v>0.1</v>
      </c>
      <c r="I7" s="342">
        <f t="shared" si="2"/>
        <v>1.1791558809098646</v>
      </c>
      <c r="J7" s="333">
        <f>'Mat Mort'!B38/1000000</f>
        <v>14.637226681279339</v>
      </c>
      <c r="K7" s="341">
        <f t="shared" si="3"/>
        <v>0.5469778125000001</v>
      </c>
      <c r="L7" s="341">
        <f t="shared" si="4"/>
        <v>0.1</v>
      </c>
      <c r="M7" s="337">
        <f t="shared" si="5"/>
        <v>0.8006238231192809</v>
      </c>
    </row>
    <row r="8" spans="1:13" ht="13.5">
      <c r="A8" s="332">
        <v>2019</v>
      </c>
      <c r="B8" s="338">
        <f>VAD!B19/1000000</f>
        <v>53.56686627873195</v>
      </c>
      <c r="C8" s="339">
        <f>'Cons Cov'!D14*'Cons Cov'!E14</f>
        <v>0.5743267031250002</v>
      </c>
      <c r="D8" s="340">
        <f>'Effect Est'!C$43</f>
        <v>0.05</v>
      </c>
      <c r="E8" s="335">
        <f t="shared" si="0"/>
        <v>1.5382440853300936</v>
      </c>
      <c r="F8" s="333">
        <f>Neonatal!B19/1000000</f>
        <v>21.773231244529924</v>
      </c>
      <c r="G8" s="341">
        <f t="shared" si="1"/>
        <v>0.5743267031250002</v>
      </c>
      <c r="H8" s="341">
        <f>'Effect Est'!C$40</f>
        <v>0.1</v>
      </c>
      <c r="I8" s="342">
        <f t="shared" si="2"/>
        <v>1.250494811704912</v>
      </c>
      <c r="J8" s="333">
        <f>'Mat Mort'!B39/1000000</f>
        <v>14.783598948092132</v>
      </c>
      <c r="K8" s="341">
        <f t="shared" si="3"/>
        <v>0.5743267031250002</v>
      </c>
      <c r="L8" s="341">
        <f t="shared" si="4"/>
        <v>0.1</v>
      </c>
      <c r="M8" s="337">
        <f t="shared" si="5"/>
        <v>0.8490615644179975</v>
      </c>
    </row>
    <row r="9" spans="1:13" ht="13.5">
      <c r="A9" s="332">
        <v>2020</v>
      </c>
      <c r="B9" s="338">
        <f>VAD!B20/1000000</f>
        <v>54.10253494151927</v>
      </c>
      <c r="C9" s="339">
        <f>'Cons Cov'!D15*'Cons Cov'!E15</f>
        <v>0.6231444728906252</v>
      </c>
      <c r="D9" s="340">
        <f>'Effect Est'!C$43</f>
        <v>0.05</v>
      </c>
      <c r="E9" s="335">
        <f t="shared" si="0"/>
        <v>1.685684780908983</v>
      </c>
      <c r="F9" s="333">
        <f>Neonatal!B20/1000000</f>
        <v>21.990963556975224</v>
      </c>
      <c r="G9" s="341">
        <f t="shared" si="1"/>
        <v>0.6231444728906252</v>
      </c>
      <c r="H9" s="341">
        <f>'Effect Est'!C$40</f>
        <v>0.1</v>
      </c>
      <c r="I9" s="342">
        <f t="shared" si="2"/>
        <v>1.3703547394068276</v>
      </c>
      <c r="J9" s="333">
        <f>'Mat Mort'!B40/1000000</f>
        <v>14.931434937573055</v>
      </c>
      <c r="K9" s="341">
        <f t="shared" si="3"/>
        <v>0.6231444728906252</v>
      </c>
      <c r="L9" s="341">
        <f t="shared" si="4"/>
        <v>0.1</v>
      </c>
      <c r="M9" s="337">
        <f t="shared" si="5"/>
        <v>0.9304441153674627</v>
      </c>
    </row>
    <row r="10" spans="1:13" ht="13.5">
      <c r="A10" s="332">
        <v>2021</v>
      </c>
      <c r="B10" s="338">
        <f>VAD!B21/1000000</f>
        <v>54.64356029093446</v>
      </c>
      <c r="C10" s="339">
        <f>'Cons Cov'!D16*'Cons Cov'!E16</f>
        <v>0.6543016965351565</v>
      </c>
      <c r="D10" s="340">
        <f>'Effect Est'!C$43</f>
        <v>0.05</v>
      </c>
      <c r="E10" s="335">
        <f t="shared" si="0"/>
        <v>1.7876687101539763</v>
      </c>
      <c r="F10" s="333">
        <f>Neonatal!B21/1000000</f>
        <v>22.210873192544973</v>
      </c>
      <c r="G10" s="341">
        <f t="shared" si="1"/>
        <v>0.6543016965351565</v>
      </c>
      <c r="H10" s="341">
        <f>'Effect Est'!C$40</f>
        <v>0.1</v>
      </c>
      <c r="I10" s="342">
        <f t="shared" si="2"/>
        <v>1.4532612011409405</v>
      </c>
      <c r="J10" s="333">
        <f>'Mat Mort'!B41/1000000</f>
        <v>15.080749286948786</v>
      </c>
      <c r="K10" s="341">
        <f t="shared" si="3"/>
        <v>0.6543016965351565</v>
      </c>
      <c r="L10" s="341">
        <f t="shared" si="4"/>
        <v>0.1</v>
      </c>
      <c r="M10" s="337">
        <f t="shared" si="5"/>
        <v>0.9867359843471942</v>
      </c>
    </row>
    <row r="11" spans="1:13" ht="13.5">
      <c r="A11" s="332">
        <v>2022</v>
      </c>
      <c r="B11" s="338">
        <f>VAD!B22/1000000</f>
        <v>55.1899958938438</v>
      </c>
      <c r="C11" s="339">
        <f>'Cons Cov'!D17*'Cons Cov'!E17</f>
        <v>0.7017913357998049</v>
      </c>
      <c r="D11" s="340">
        <f>'Effect Est'!C$43</f>
        <v>0.05</v>
      </c>
      <c r="E11" s="335">
        <f t="shared" si="0"/>
        <v>1.9365930470563193</v>
      </c>
      <c r="F11" s="333">
        <f>Neonatal!B22/1000000</f>
        <v>22.432981924470425</v>
      </c>
      <c r="G11" s="341">
        <f t="shared" si="1"/>
        <v>0.7017913357998049</v>
      </c>
      <c r="H11" s="341">
        <f>'Effect Est'!C$40</f>
        <v>0.1</v>
      </c>
      <c r="I11" s="342">
        <f t="shared" si="2"/>
        <v>1.5743272350746977</v>
      </c>
      <c r="J11" s="333">
        <f>'Mat Mort'!B42/1000000</f>
        <v>15.231556779818273</v>
      </c>
      <c r="K11" s="341">
        <f t="shared" si="3"/>
        <v>0.7017913357998049</v>
      </c>
      <c r="L11" s="341">
        <f t="shared" si="4"/>
        <v>0.1</v>
      </c>
      <c r="M11" s="337">
        <f t="shared" si="5"/>
        <v>1.0689374578819242</v>
      </c>
    </row>
    <row r="12" spans="1:13" ht="13.5">
      <c r="A12" s="332">
        <v>2023</v>
      </c>
      <c r="B12" s="338">
        <f>VAD!B23/1000000</f>
        <v>55.74189585278224</v>
      </c>
      <c r="C12" s="339">
        <f>'Cons Cov'!D18*'Cons Cov'!E18</f>
        <v>0.7368809025897952</v>
      </c>
      <c r="D12" s="340">
        <f>'Effect Est'!C$43</f>
        <v>0.05</v>
      </c>
      <c r="E12" s="335">
        <f t="shared" si="0"/>
        <v>2.0537569264032274</v>
      </c>
      <c r="F12" s="333">
        <f>Neonatal!B23/1000000</f>
        <v>22.65731174371513</v>
      </c>
      <c r="G12" s="341">
        <f t="shared" si="1"/>
        <v>0.7368809025897952</v>
      </c>
      <c r="H12" s="341">
        <f>'Effect Est'!C$40</f>
        <v>0.1</v>
      </c>
      <c r="I12" s="342">
        <f t="shared" si="2"/>
        <v>1.6695740327967172</v>
      </c>
      <c r="J12" s="333">
        <f>'Mat Mort'!B43/1000000</f>
        <v>15.383872347616457</v>
      </c>
      <c r="K12" s="341">
        <f t="shared" si="3"/>
        <v>0.7368809025897952</v>
      </c>
      <c r="L12" s="341">
        <f t="shared" si="4"/>
        <v>0.1</v>
      </c>
      <c r="M12" s="337">
        <f t="shared" si="5"/>
        <v>1.1336081740837807</v>
      </c>
    </row>
    <row r="13" spans="1:13" ht="13.5">
      <c r="A13" s="274"/>
      <c r="B13" s="338">
        <f>SUM(B3:B12)</f>
        <v>533.2279554477607</v>
      </c>
      <c r="C13" s="338"/>
      <c r="D13" s="338"/>
      <c r="E13" s="335">
        <f>SUM(E3:E12)</f>
        <v>15.062606780720461</v>
      </c>
      <c r="F13" s="333">
        <f>SUM(F3:F12)</f>
        <v>216.74024236548698</v>
      </c>
      <c r="G13" s="333"/>
      <c r="H13" s="333"/>
      <c r="I13" s="337">
        <f>SUM(I3:I12)</f>
        <v>12.244943315351792</v>
      </c>
      <c r="J13" s="333">
        <f>SUM(J3:J12)</f>
        <v>147.16239326437307</v>
      </c>
      <c r="K13" s="333"/>
      <c r="L13" s="333"/>
      <c r="M13" s="337">
        <f>SUM(M3:M12)</f>
        <v>8.31407745975973</v>
      </c>
    </row>
    <row r="14" spans="2:13" ht="13.5">
      <c r="B14"/>
      <c r="D14" s="325" t="s">
        <v>241</v>
      </c>
      <c r="E14" s="326">
        <f>E13/B13</f>
        <v>0.028247969047444504</v>
      </c>
      <c r="F14" s="20"/>
      <c r="H14" s="325" t="s">
        <v>241</v>
      </c>
      <c r="I14" s="326">
        <f>I13/F13</f>
        <v>0.05649593809488901</v>
      </c>
      <c r="L14" s="325" t="s">
        <v>241</v>
      </c>
      <c r="M14" s="326">
        <f>M13/J13</f>
        <v>0.056495938094888995</v>
      </c>
    </row>
    <row r="15" spans="2:6" ht="12">
      <c r="B15"/>
      <c r="E15" s="20"/>
      <c r="F15" s="20"/>
    </row>
    <row r="16" spans="1:13" ht="13.5">
      <c r="A16" s="274"/>
      <c r="B16" s="400" t="s">
        <v>139</v>
      </c>
      <c r="C16" s="401"/>
      <c r="D16" s="401"/>
      <c r="E16" s="402"/>
      <c r="F16" s="400" t="s">
        <v>143</v>
      </c>
      <c r="G16" s="401"/>
      <c r="H16" s="401"/>
      <c r="I16" s="402"/>
      <c r="J16" s="400" t="s">
        <v>144</v>
      </c>
      <c r="K16" s="401"/>
      <c r="L16" s="401"/>
      <c r="M16" s="402"/>
    </row>
    <row r="17" spans="1:13" ht="13.5">
      <c r="A17" s="274"/>
      <c r="B17" s="330" t="s">
        <v>231</v>
      </c>
      <c r="C17" s="330" t="s">
        <v>229</v>
      </c>
      <c r="D17" s="330" t="s">
        <v>230</v>
      </c>
      <c r="E17" s="331" t="s">
        <v>0</v>
      </c>
      <c r="F17" s="330" t="s">
        <v>231</v>
      </c>
      <c r="G17" s="330" t="s">
        <v>229</v>
      </c>
      <c r="H17" s="330" t="s">
        <v>230</v>
      </c>
      <c r="I17" s="331" t="s">
        <v>0</v>
      </c>
      <c r="J17" s="330" t="s">
        <v>231</v>
      </c>
      <c r="K17" s="330" t="s">
        <v>229</v>
      </c>
      <c r="L17" s="330" t="s">
        <v>230</v>
      </c>
      <c r="M17" s="331" t="s">
        <v>0</v>
      </c>
    </row>
    <row r="18" spans="1:13" ht="13.5">
      <c r="A18" s="332">
        <v>2014</v>
      </c>
      <c r="B18" s="333">
        <f>'NTD '!B34/1000000</f>
        <v>11.754544565049628</v>
      </c>
      <c r="C18" s="334">
        <f>C3</f>
        <v>0.4</v>
      </c>
      <c r="D18" s="334">
        <f>'Effect Est'!C$42</f>
        <v>0.5</v>
      </c>
      <c r="E18" s="335">
        <f>D18*C18*B18</f>
        <v>2.3509089130099254</v>
      </c>
      <c r="F18" s="333">
        <f>'IDA kids'!B16/1000000</f>
        <v>38.207506658447095</v>
      </c>
      <c r="G18" s="336">
        <f>C18</f>
        <v>0.4</v>
      </c>
      <c r="H18" s="336">
        <f>'Effect Est'!C$41</f>
        <v>0.2</v>
      </c>
      <c r="I18" s="337">
        <f>F18*G18*H18</f>
        <v>3.056600532675768</v>
      </c>
      <c r="J18" s="333">
        <f>'IDA Adults'!B23/1000000</f>
        <v>39.03269870196785</v>
      </c>
      <c r="K18" s="336">
        <f>G18</f>
        <v>0.4</v>
      </c>
      <c r="L18" s="336">
        <f>'Effect Est'!C$39</f>
        <v>0.3</v>
      </c>
      <c r="M18" s="337">
        <f>J18*K18*L18</f>
        <v>4.683923844236142</v>
      </c>
    </row>
    <row r="19" spans="1:13" ht="13.5">
      <c r="A19" s="332">
        <v>2015</v>
      </c>
      <c r="B19" s="333">
        <f>'NTD '!B35/1000000</f>
        <v>11.872090010700123</v>
      </c>
      <c r="C19" s="334">
        <f aca="true" t="shared" si="6" ref="C19:C27">C4</f>
        <v>0.42000000000000004</v>
      </c>
      <c r="D19" s="334">
        <f>'Effect Est'!C$42</f>
        <v>0.5</v>
      </c>
      <c r="E19" s="335">
        <f aca="true" t="shared" si="7" ref="E19:E27">D19*C19*B19</f>
        <v>2.493138902247026</v>
      </c>
      <c r="F19" s="333">
        <f>'IDA kids'!B17/1000000</f>
        <v>38.589581725031564</v>
      </c>
      <c r="G19" s="336">
        <f aca="true" t="shared" si="8" ref="G19:G27">C19</f>
        <v>0.42000000000000004</v>
      </c>
      <c r="H19" s="336">
        <f>'Effect Est'!C$41</f>
        <v>0.2</v>
      </c>
      <c r="I19" s="337">
        <f aca="true" t="shared" si="9" ref="I19:I27">F19*G19*H19</f>
        <v>3.241524864902652</v>
      </c>
      <c r="J19" s="333">
        <f>'IDA Adults'!B24/1000000</f>
        <v>40.20367966302688</v>
      </c>
      <c r="K19" s="336">
        <f aca="true" t="shared" si="10" ref="K19:K27">G19</f>
        <v>0.42000000000000004</v>
      </c>
      <c r="L19" s="336">
        <f>'Effect Est'!C$39</f>
        <v>0.3</v>
      </c>
      <c r="M19" s="337">
        <f aca="true" t="shared" si="11" ref="M19:M27">J19*K19*L19</f>
        <v>5.0656636375413875</v>
      </c>
    </row>
    <row r="20" spans="1:13" ht="13.5">
      <c r="A20" s="332">
        <v>2016</v>
      </c>
      <c r="B20" s="333">
        <f>'NTD '!B36/1000000</f>
        <v>11.990810910807125</v>
      </c>
      <c r="C20" s="334">
        <f t="shared" si="6"/>
        <v>0.4685625</v>
      </c>
      <c r="D20" s="334">
        <f>'Effect Est'!C$42</f>
        <v>0.5</v>
      </c>
      <c r="E20" s="335">
        <f t="shared" si="7"/>
        <v>2.8092221686975316</v>
      </c>
      <c r="F20" s="333">
        <f>'IDA kids'!B18/1000000</f>
        <v>38.97547754228188</v>
      </c>
      <c r="G20" s="336">
        <f t="shared" si="8"/>
        <v>0.4685625</v>
      </c>
      <c r="H20" s="336">
        <f>'Effect Est'!C$41</f>
        <v>0.2</v>
      </c>
      <c r="I20" s="337">
        <f t="shared" si="9"/>
        <v>3.6524894391810907</v>
      </c>
      <c r="J20" s="333">
        <f>'IDA Adults'!B25/1000000</f>
        <v>41.40979005291769</v>
      </c>
      <c r="K20" s="336">
        <f t="shared" si="10"/>
        <v>0.4685625</v>
      </c>
      <c r="L20" s="336">
        <f>'Effect Est'!C$39</f>
        <v>0.3</v>
      </c>
      <c r="M20" s="337">
        <f t="shared" si="11"/>
        <v>5.820922425501074</v>
      </c>
    </row>
    <row r="21" spans="1:13" ht="13.5">
      <c r="A21" s="332">
        <v>2017</v>
      </c>
      <c r="B21" s="333">
        <f>'NTD '!B37/1000000</f>
        <v>12.110719019915196</v>
      </c>
      <c r="C21" s="334">
        <f t="shared" si="6"/>
        <v>0.491990625</v>
      </c>
      <c r="D21" s="334">
        <f>'Effect Est'!C$42</f>
        <v>0.5</v>
      </c>
      <c r="E21" s="335">
        <f t="shared" si="7"/>
        <v>2.9791801099037323</v>
      </c>
      <c r="F21" s="333">
        <f>'IDA kids'!B19/1000000</f>
        <v>39.3652323177047</v>
      </c>
      <c r="G21" s="336">
        <f t="shared" si="8"/>
        <v>0.491990625</v>
      </c>
      <c r="H21" s="336">
        <f>'Effect Est'!C$41</f>
        <v>0.2</v>
      </c>
      <c r="I21" s="337">
        <f t="shared" si="9"/>
        <v>3.8734650502515473</v>
      </c>
      <c r="J21" s="333">
        <f>'IDA Adults'!B26/1000000</f>
        <v>42.65208375450523</v>
      </c>
      <c r="K21" s="336">
        <f t="shared" si="10"/>
        <v>0.491990625</v>
      </c>
      <c r="L21" s="336">
        <f>'Effect Est'!C$39</f>
        <v>0.3</v>
      </c>
      <c r="M21" s="337">
        <f t="shared" si="11"/>
        <v>6.295327603179412</v>
      </c>
    </row>
    <row r="22" spans="1:13" ht="13.5">
      <c r="A22" s="332">
        <v>2018</v>
      </c>
      <c r="B22" s="333">
        <f>'NTD '!B38/1000000</f>
        <v>12.231826210114349</v>
      </c>
      <c r="C22" s="334">
        <f t="shared" si="6"/>
        <v>0.5469778125000001</v>
      </c>
      <c r="D22" s="334">
        <f>'Effect Est'!C$42</f>
        <v>0.5</v>
      </c>
      <c r="E22" s="335">
        <f t="shared" si="7"/>
        <v>3.3452687716442564</v>
      </c>
      <c r="F22" s="333">
        <f>'IDA kids'!B20/1000000</f>
        <v>39.758884640881746</v>
      </c>
      <c r="G22" s="336">
        <f t="shared" si="8"/>
        <v>0.5469778125000001</v>
      </c>
      <c r="H22" s="336">
        <f>'Effect Est'!C$41</f>
        <v>0.2</v>
      </c>
      <c r="I22" s="337">
        <f t="shared" si="9"/>
        <v>4.34944554966187</v>
      </c>
      <c r="J22" s="333">
        <f>'IDA Adults'!B27/1000000</f>
        <v>43.93164626714038</v>
      </c>
      <c r="K22" s="336">
        <f t="shared" si="10"/>
        <v>0.5469778125000001</v>
      </c>
      <c r="L22" s="336">
        <f>'Effect Est'!C$39</f>
        <v>0.3</v>
      </c>
      <c r="M22" s="337">
        <f t="shared" si="11"/>
        <v>7.208890732417272</v>
      </c>
    </row>
    <row r="23" spans="1:13" ht="13.5">
      <c r="A23" s="332">
        <v>2019</v>
      </c>
      <c r="B23" s="333">
        <f>'NTD '!B39/1000000</f>
        <v>12.354144472215491</v>
      </c>
      <c r="C23" s="334">
        <f t="shared" si="6"/>
        <v>0.5743267031250002</v>
      </c>
      <c r="D23" s="334">
        <f>'Effect Est'!C$42</f>
        <v>0.5</v>
      </c>
      <c r="E23" s="335">
        <f t="shared" si="7"/>
        <v>3.5476575323287345</v>
      </c>
      <c r="F23" s="333">
        <f>'IDA kids'!B21/1000000</f>
        <v>40.15647348729056</v>
      </c>
      <c r="G23" s="336">
        <f t="shared" si="8"/>
        <v>0.5743267031250002</v>
      </c>
      <c r="H23" s="336">
        <f>'Effect Est'!C$41</f>
        <v>0.2</v>
      </c>
      <c r="I23" s="337">
        <f t="shared" si="9"/>
        <v>4.612587005416414</v>
      </c>
      <c r="J23" s="333">
        <f>'IDA Adults'!B28/1000000</f>
        <v>45.24959565515459</v>
      </c>
      <c r="K23" s="336">
        <f t="shared" si="10"/>
        <v>0.5743267031250002</v>
      </c>
      <c r="L23" s="336">
        <f>'Effect Est'!C$39</f>
        <v>0.3</v>
      </c>
      <c r="M23" s="337">
        <f t="shared" si="11"/>
        <v>7.7964153271092815</v>
      </c>
    </row>
    <row r="24" spans="1:13" ht="13.5">
      <c r="A24" s="332">
        <v>2020</v>
      </c>
      <c r="B24" s="333">
        <f>'NTD '!B40/1000000</f>
        <v>12.477685916937647</v>
      </c>
      <c r="C24" s="334">
        <f t="shared" si="6"/>
        <v>0.6231444728906252</v>
      </c>
      <c r="D24" s="334">
        <f>'Effect Est'!C$42</f>
        <v>0.5</v>
      </c>
      <c r="E24" s="335">
        <f t="shared" si="7"/>
        <v>3.8877005068024437</v>
      </c>
      <c r="F24" s="333">
        <f>'IDA kids'!B22/1000000</f>
        <v>40.55803822216347</v>
      </c>
      <c r="G24" s="336">
        <f t="shared" si="8"/>
        <v>0.6231444728906252</v>
      </c>
      <c r="H24" s="336">
        <f>'Effect Est'!C$41</f>
        <v>0.2</v>
      </c>
      <c r="I24" s="337">
        <f t="shared" si="9"/>
        <v>5.0547034698855775</v>
      </c>
      <c r="J24" s="333">
        <f>'IDA Adults'!B29/1000000</f>
        <v>46.607083524809234</v>
      </c>
      <c r="K24" s="336">
        <f t="shared" si="10"/>
        <v>0.6231444728906252</v>
      </c>
      <c r="L24" s="336">
        <f>'Effect Est'!C$39</f>
        <v>0.3</v>
      </c>
      <c r="M24" s="337">
        <f t="shared" si="11"/>
        <v>8.712883948810978</v>
      </c>
    </row>
    <row r="25" spans="1:13" ht="13.5">
      <c r="A25" s="332">
        <v>2021</v>
      </c>
      <c r="B25" s="333">
        <f>'NTD '!B41/1000000</f>
        <v>12.602462776107025</v>
      </c>
      <c r="C25" s="334">
        <f t="shared" si="6"/>
        <v>0.6543016965351565</v>
      </c>
      <c r="D25" s="334">
        <f>'Effect Est'!C$42</f>
        <v>0.5</v>
      </c>
      <c r="E25" s="335">
        <f t="shared" si="7"/>
        <v>4.122906387463992</v>
      </c>
      <c r="F25" s="333">
        <f>'IDA kids'!B23/1000000</f>
        <v>40.9636186043851</v>
      </c>
      <c r="G25" s="336">
        <f t="shared" si="8"/>
        <v>0.6543016965351565</v>
      </c>
      <c r="H25" s="336">
        <f>'Effect Est'!C$41</f>
        <v>0.2</v>
      </c>
      <c r="I25" s="337">
        <f t="shared" si="9"/>
        <v>5.360513029813654</v>
      </c>
      <c r="J25" s="333">
        <f>'IDA Adults'!B30/1000000</f>
        <v>48.00529603055351</v>
      </c>
      <c r="K25" s="336">
        <f t="shared" si="10"/>
        <v>0.6543016965351565</v>
      </c>
      <c r="L25" s="336">
        <f>'Effect Est'!C$39</f>
        <v>0.3</v>
      </c>
      <c r="M25" s="337">
        <f t="shared" si="11"/>
        <v>9.422983990639072</v>
      </c>
    </row>
    <row r="26" spans="1:13" ht="13.5">
      <c r="A26" s="332">
        <v>2022</v>
      </c>
      <c r="B26" s="333">
        <f>'NTD '!B42/1000000</f>
        <v>12.728487403868094</v>
      </c>
      <c r="C26" s="334">
        <f t="shared" si="6"/>
        <v>0.7017913357998049</v>
      </c>
      <c r="D26" s="334">
        <f>'Effect Est'!C$42</f>
        <v>0.5</v>
      </c>
      <c r="E26" s="335">
        <f t="shared" si="7"/>
        <v>4.46637108893579</v>
      </c>
      <c r="F26" s="333">
        <f>'IDA kids'!B24/1000000</f>
        <v>41.37325479042895</v>
      </c>
      <c r="G26" s="336">
        <f t="shared" si="8"/>
        <v>0.7017913357998049</v>
      </c>
      <c r="H26" s="336">
        <f>'Effect Est'!C$41</f>
        <v>0.2</v>
      </c>
      <c r="I26" s="337">
        <f t="shared" si="9"/>
        <v>5.807078349152163</v>
      </c>
      <c r="J26" s="333">
        <f>'IDA Adults'!B31/1000000</f>
        <v>49.44545491147012</v>
      </c>
      <c r="K26" s="336">
        <f t="shared" si="10"/>
        <v>0.7017913357998049</v>
      </c>
      <c r="L26" s="336">
        <f>'Effect Est'!C$39</f>
        <v>0.3</v>
      </c>
      <c r="M26" s="337">
        <f t="shared" si="11"/>
        <v>10.410117555464891</v>
      </c>
    </row>
    <row r="27" spans="1:13" ht="13.5">
      <c r="A27" s="332">
        <v>2023</v>
      </c>
      <c r="B27" s="333">
        <f>'NTD '!B43/1000000</f>
        <v>12.855772277906775</v>
      </c>
      <c r="C27" s="334">
        <f t="shared" si="6"/>
        <v>0.7368809025897952</v>
      </c>
      <c r="D27" s="334">
        <f>'Effect Est'!C$42</f>
        <v>0.5</v>
      </c>
      <c r="E27" s="335">
        <f t="shared" si="7"/>
        <v>4.736586539816406</v>
      </c>
      <c r="F27" s="333">
        <f>'IDA kids'!B25/1000000</f>
        <v>41.78698733833324</v>
      </c>
      <c r="G27" s="336">
        <f t="shared" si="8"/>
        <v>0.7368809025897952</v>
      </c>
      <c r="H27" s="336">
        <f>'Effect Est'!C$41</f>
        <v>0.2</v>
      </c>
      <c r="I27" s="337">
        <f t="shared" si="9"/>
        <v>6.158406589275869</v>
      </c>
      <c r="J27" s="333">
        <f>'IDA Adults'!B32/1000000</f>
        <v>50.92881855881423</v>
      </c>
      <c r="K27" s="336">
        <f t="shared" si="10"/>
        <v>0.7368809025897952</v>
      </c>
      <c r="L27" s="336">
        <f>'Effect Est'!C$39</f>
        <v>0.3</v>
      </c>
      <c r="M27" s="337">
        <f t="shared" si="11"/>
        <v>11.258542136235283</v>
      </c>
    </row>
    <row r="28" spans="1:13" ht="13.5">
      <c r="A28" s="274"/>
      <c r="B28" s="333">
        <f>SUM(B18:B27)</f>
        <v>122.97854356362144</v>
      </c>
      <c r="C28" s="330"/>
      <c r="D28" s="330"/>
      <c r="E28" s="335">
        <f>SUM(E18:E27)</f>
        <v>34.738940920849835</v>
      </c>
      <c r="F28" s="333">
        <f>SUM(F18:F27)</f>
        <v>399.7350553269483</v>
      </c>
      <c r="G28" s="274"/>
      <c r="H28" s="274"/>
      <c r="I28" s="337">
        <f>SUM(I18:I27)</f>
        <v>45.16681388021661</v>
      </c>
      <c r="J28" s="333">
        <f>SUM(J18:J27)</f>
        <v>447.46614712035966</v>
      </c>
      <c r="K28" s="274"/>
      <c r="L28" s="274"/>
      <c r="M28" s="337">
        <f>SUM(M18:M27)</f>
        <v>76.67567120113479</v>
      </c>
    </row>
    <row r="29" spans="2:13" ht="13.5">
      <c r="B29"/>
      <c r="D29" s="325" t="s">
        <v>241</v>
      </c>
      <c r="E29" s="326">
        <f>E28/B28</f>
        <v>0.282479690474445</v>
      </c>
      <c r="F29" s="20"/>
      <c r="H29" s="325" t="s">
        <v>241</v>
      </c>
      <c r="I29" s="326">
        <f>I28/F28</f>
        <v>0.112991876189778</v>
      </c>
      <c r="L29" s="325" t="s">
        <v>241</v>
      </c>
      <c r="M29" s="326">
        <f>M28/J28</f>
        <v>0.17135524484830028</v>
      </c>
    </row>
    <row r="30" spans="1:4" ht="13.5">
      <c r="A30" s="175"/>
      <c r="B30" s="26" t="s">
        <v>228</v>
      </c>
      <c r="C30" s="6" t="s">
        <v>209</v>
      </c>
      <c r="D30" s="27" t="s">
        <v>374</v>
      </c>
    </row>
    <row r="31" spans="1:4" ht="13.5">
      <c r="A31" s="171">
        <v>2014</v>
      </c>
      <c r="B31" s="32">
        <f aca="true" t="shared" si="12" ref="B31:B41">B3+F3+J3+B18+F18+J18</f>
        <v>174.74435475824336</v>
      </c>
      <c r="C31" s="33">
        <f aca="true" t="shared" si="13" ref="C31:C41">E3+I3+M3+E18+I18+M18</f>
        <v>12.502076778096338</v>
      </c>
      <c r="D31" s="28">
        <f>C31/B31</f>
        <v>0.0715449537433859</v>
      </c>
    </row>
    <row r="32" spans="1:4" ht="13.5">
      <c r="A32" s="171">
        <v>2015</v>
      </c>
      <c r="B32" s="32">
        <f t="shared" si="12"/>
        <v>177.27245227986512</v>
      </c>
      <c r="C32" s="33">
        <f t="shared" si="13"/>
        <v>13.356814823900123</v>
      </c>
      <c r="D32" s="28">
        <f aca="true" t="shared" si="14" ref="D32:D41">C32/B32</f>
        <v>0.0753462517843062</v>
      </c>
    </row>
    <row r="33" spans="1:4" ht="13.5">
      <c r="A33" s="171">
        <v>2016</v>
      </c>
      <c r="B33" s="32">
        <f t="shared" si="12"/>
        <v>179.8492503959243</v>
      </c>
      <c r="C33" s="33">
        <f t="shared" si="13"/>
        <v>15.163236123205353</v>
      </c>
      <c r="D33" s="28">
        <f t="shared" si="14"/>
        <v>0.08431081080307344</v>
      </c>
    </row>
    <row r="34" spans="1:4" ht="13.5">
      <c r="A34" s="171">
        <v>2017</v>
      </c>
      <c r="B34" s="32">
        <f t="shared" si="12"/>
        <v>182.47593870094192</v>
      </c>
      <c r="C34" s="33">
        <f t="shared" si="13"/>
        <v>16.2028512795948</v>
      </c>
      <c r="D34" s="28">
        <f t="shared" si="14"/>
        <v>0.08879445364108798</v>
      </c>
    </row>
    <row r="35" spans="1:4" ht="13.5">
      <c r="A35" s="171">
        <v>2018</v>
      </c>
      <c r="B35" s="32">
        <f t="shared" si="12"/>
        <v>185.15373976304141</v>
      </c>
      <c r="C35" s="33">
        <f t="shared" si="13"/>
        <v>18.333874230011</v>
      </c>
      <c r="D35" s="28">
        <f t="shared" si="14"/>
        <v>0.09901973491583035</v>
      </c>
    </row>
    <row r="36" spans="1:4" ht="13.5">
      <c r="A36" s="171">
        <v>2019</v>
      </c>
      <c r="B36" s="32">
        <f t="shared" si="12"/>
        <v>187.88391008601465</v>
      </c>
      <c r="C36" s="33">
        <f t="shared" si="13"/>
        <v>19.594460326307434</v>
      </c>
      <c r="D36" s="28">
        <f t="shared" si="14"/>
        <v>0.10429025198239139</v>
      </c>
    </row>
    <row r="37" spans="1:4" ht="13.5">
      <c r="A37" s="171">
        <v>2020</v>
      </c>
      <c r="B37" s="32">
        <f t="shared" si="12"/>
        <v>190.6677410999779</v>
      </c>
      <c r="C37" s="33">
        <f t="shared" si="13"/>
        <v>21.641771561182274</v>
      </c>
      <c r="D37" s="28">
        <f t="shared" si="14"/>
        <v>0.11350515528389393</v>
      </c>
    </row>
    <row r="38" spans="1:4" ht="13.5">
      <c r="A38" s="171">
        <v>2021</v>
      </c>
      <c r="B38" s="32">
        <f t="shared" si="12"/>
        <v>193.50656018147384</v>
      </c>
      <c r="C38" s="33">
        <f t="shared" si="13"/>
        <v>23.134069303558828</v>
      </c>
      <c r="D38" s="28">
        <f t="shared" si="14"/>
        <v>0.11955186057704345</v>
      </c>
    </row>
    <row r="39" spans="1:4" ht="13.5">
      <c r="A39" s="171">
        <v>2022</v>
      </c>
      <c r="B39" s="32">
        <f t="shared" si="12"/>
        <v>196.40173170389966</v>
      </c>
      <c r="C39" s="33">
        <f t="shared" si="13"/>
        <v>25.263424733565785</v>
      </c>
      <c r="D39" s="28">
        <f t="shared" si="14"/>
        <v>0.12863137465434155</v>
      </c>
    </row>
    <row r="40" spans="1:4" ht="13.5">
      <c r="A40" s="171">
        <v>2023</v>
      </c>
      <c r="B40" s="32">
        <f t="shared" si="12"/>
        <v>199.3546581191681</v>
      </c>
      <c r="C40" s="33">
        <f t="shared" si="13"/>
        <v>27.010474398611287</v>
      </c>
      <c r="D40" s="28">
        <f t="shared" si="14"/>
        <v>0.1354895574221559</v>
      </c>
    </row>
    <row r="41" spans="1:4" ht="13.5">
      <c r="A41" s="175"/>
      <c r="B41" s="32">
        <f t="shared" si="12"/>
        <v>1867.31033708855</v>
      </c>
      <c r="C41" s="33">
        <f t="shared" si="13"/>
        <v>192.20305355803322</v>
      </c>
      <c r="D41" s="28">
        <f t="shared" si="14"/>
        <v>0.10293042872440261</v>
      </c>
    </row>
  </sheetData>
  <sheetProtection/>
  <mergeCells count="6">
    <mergeCell ref="B1:E1"/>
    <mergeCell ref="F1:I1"/>
    <mergeCell ref="J1:M1"/>
    <mergeCell ref="B16:E16"/>
    <mergeCell ref="F16:I16"/>
    <mergeCell ref="J16:M16"/>
  </mergeCells>
  <printOptions/>
  <pageMargins left="0.7" right="0.7" top="0.75" bottom="0.75" header="0.3" footer="0.3"/>
  <pageSetup orientation="portrait"/>
</worksheet>
</file>

<file path=xl/worksheets/sheet15.xml><?xml version="1.0" encoding="utf-8"?>
<worksheet xmlns="http://schemas.openxmlformats.org/spreadsheetml/2006/main" xmlns:r="http://schemas.openxmlformats.org/officeDocument/2006/relationships">
  <sheetPr>
    <tabColor rgb="FF7030A0"/>
  </sheetPr>
  <dimension ref="A1:N24"/>
  <sheetViews>
    <sheetView zoomScale="101" zoomScaleNormal="101" workbookViewId="0" topLeftCell="A1">
      <selection activeCell="F31" sqref="F31"/>
    </sheetView>
  </sheetViews>
  <sheetFormatPr defaultColWidth="8.8515625" defaultRowHeight="12.75"/>
  <cols>
    <col min="1" max="1" width="22.8515625" style="0" bestFit="1" customWidth="1"/>
    <col min="2" max="2" width="16.7109375" style="0" bestFit="1" customWidth="1"/>
    <col min="3" max="3" width="12.421875" style="0" customWidth="1"/>
    <col min="4" max="4" width="17.421875" style="0" customWidth="1"/>
    <col min="5" max="5" width="22.28125" style="0" customWidth="1"/>
    <col min="6" max="6" width="19.7109375" style="0" bestFit="1" customWidth="1"/>
    <col min="7" max="7" width="21.421875" style="0" bestFit="1" customWidth="1"/>
    <col min="8" max="8" width="18.421875" style="0" bestFit="1" customWidth="1"/>
    <col min="9" max="9" width="17.28125" style="0" bestFit="1" customWidth="1"/>
    <col min="10" max="12" width="8.8515625" style="0" customWidth="1"/>
    <col min="13" max="13" width="25.421875" style="0" bestFit="1" customWidth="1"/>
  </cols>
  <sheetData>
    <row r="1" spans="1:9" ht="15">
      <c r="A1" s="273"/>
      <c r="B1" s="273" t="s">
        <v>90</v>
      </c>
      <c r="C1" s="273" t="s">
        <v>91</v>
      </c>
      <c r="D1" s="273" t="s">
        <v>257</v>
      </c>
      <c r="E1" s="273" t="s">
        <v>258</v>
      </c>
      <c r="F1" s="273" t="s">
        <v>92</v>
      </c>
      <c r="G1" s="273" t="s">
        <v>93</v>
      </c>
      <c r="H1" s="273" t="s">
        <v>94</v>
      </c>
      <c r="I1" s="273" t="s">
        <v>95</v>
      </c>
    </row>
    <row r="2" spans="1:9" ht="15">
      <c r="A2" s="273" t="s">
        <v>375</v>
      </c>
      <c r="B2" s="274" t="s">
        <v>96</v>
      </c>
      <c r="C2" s="274"/>
      <c r="D2" s="274" t="s">
        <v>20</v>
      </c>
      <c r="E2" s="274" t="s">
        <v>97</v>
      </c>
      <c r="F2" s="274" t="s">
        <v>96</v>
      </c>
      <c r="G2" s="274" t="s">
        <v>98</v>
      </c>
      <c r="H2" s="274" t="s">
        <v>99</v>
      </c>
      <c r="I2" s="274" t="s">
        <v>20</v>
      </c>
    </row>
    <row r="3" spans="1:9" ht="13.5" hidden="1">
      <c r="A3" s="274" t="s">
        <v>100</v>
      </c>
      <c r="B3" s="327"/>
      <c r="C3" s="274" t="s">
        <v>101</v>
      </c>
      <c r="D3" s="348">
        <v>0.8045</v>
      </c>
      <c r="E3" s="349">
        <f aca="true" t="shared" si="0" ref="E3:E11">B3*(1/D3)</f>
        <v>0</v>
      </c>
      <c r="F3" s="350">
        <f aca="true" t="shared" si="1" ref="F3:F11">E3*(1/$E$14)</f>
        <v>0</v>
      </c>
      <c r="G3" s="333">
        <v>24.5</v>
      </c>
      <c r="H3" s="333">
        <f aca="true" t="shared" si="2" ref="H3:H11">F3*G3</f>
        <v>0</v>
      </c>
      <c r="I3" s="336">
        <f>H3/$H$15</f>
        <v>0</v>
      </c>
    </row>
    <row r="4" spans="1:9" ht="13.5" hidden="1">
      <c r="A4" s="274" t="s">
        <v>102</v>
      </c>
      <c r="B4" s="327"/>
      <c r="C4" s="274" t="s">
        <v>102</v>
      </c>
      <c r="D4" s="348">
        <v>1</v>
      </c>
      <c r="E4" s="274">
        <f t="shared" si="0"/>
        <v>0</v>
      </c>
      <c r="F4" s="350">
        <f t="shared" si="1"/>
        <v>0</v>
      </c>
      <c r="G4" s="333">
        <v>55</v>
      </c>
      <c r="H4" s="333">
        <f t="shared" si="2"/>
        <v>0</v>
      </c>
      <c r="I4" s="336">
        <f aca="true" t="shared" si="3" ref="I4:I11">H4/$H$18</f>
        <v>0</v>
      </c>
    </row>
    <row r="5" spans="1:9" ht="13.5" hidden="1">
      <c r="A5" s="274" t="s">
        <v>103</v>
      </c>
      <c r="B5" s="327"/>
      <c r="C5" s="274" t="s">
        <v>104</v>
      </c>
      <c r="D5" s="348">
        <v>0.99</v>
      </c>
      <c r="E5" s="349">
        <f t="shared" si="0"/>
        <v>0</v>
      </c>
      <c r="F5" s="350">
        <f t="shared" si="1"/>
        <v>0</v>
      </c>
      <c r="G5" s="333">
        <v>13</v>
      </c>
      <c r="H5" s="333">
        <f t="shared" si="2"/>
        <v>0</v>
      </c>
      <c r="I5" s="336">
        <f t="shared" si="3"/>
        <v>0</v>
      </c>
    </row>
    <row r="6" spans="1:9" ht="15">
      <c r="A6" s="274" t="s">
        <v>88</v>
      </c>
      <c r="B6" s="344">
        <f>'Effect Est'!B21</f>
        <v>2</v>
      </c>
      <c r="C6" s="274" t="s">
        <v>88</v>
      </c>
      <c r="D6" s="336">
        <v>0.9</v>
      </c>
      <c r="E6" s="349">
        <f t="shared" si="0"/>
        <v>2.2222222222222223</v>
      </c>
      <c r="F6" s="350">
        <f>E6*(1/$E$14)</f>
        <v>0.008888888888888889</v>
      </c>
      <c r="G6" s="333">
        <v>40</v>
      </c>
      <c r="H6" s="333">
        <f t="shared" si="2"/>
        <v>0.35555555555555557</v>
      </c>
      <c r="I6" s="336">
        <f t="shared" si="3"/>
        <v>0.0546168288103772</v>
      </c>
    </row>
    <row r="7" spans="1:9" ht="13.5" hidden="1">
      <c r="A7" s="274" t="s">
        <v>105</v>
      </c>
      <c r="B7" s="344"/>
      <c r="C7" s="327"/>
      <c r="D7" s="343">
        <v>0.001</v>
      </c>
      <c r="E7" s="349">
        <f t="shared" si="0"/>
        <v>0</v>
      </c>
      <c r="F7" s="350">
        <f>E7*(1/$E$14)</f>
        <v>0</v>
      </c>
      <c r="G7" s="328">
        <v>10</v>
      </c>
      <c r="H7" s="328">
        <f t="shared" si="2"/>
        <v>0</v>
      </c>
      <c r="I7" s="329">
        <f t="shared" si="3"/>
        <v>0</v>
      </c>
    </row>
    <row r="8" spans="1:9" ht="15">
      <c r="A8" s="274" t="s">
        <v>264</v>
      </c>
      <c r="B8" s="344">
        <f>'Effect Est'!B9</f>
        <v>60</v>
      </c>
      <c r="C8" s="277" t="s">
        <v>249</v>
      </c>
      <c r="D8" s="345">
        <f>C19</f>
        <v>0.32</v>
      </c>
      <c r="E8" s="349">
        <f t="shared" si="0"/>
        <v>187.5</v>
      </c>
      <c r="F8" s="350">
        <f>E8*(1/$E$14)</f>
        <v>0.75</v>
      </c>
      <c r="G8" s="346">
        <f>D19</f>
        <v>2.8</v>
      </c>
      <c r="H8" s="333">
        <f t="shared" si="2"/>
        <v>2.0999999999999996</v>
      </c>
      <c r="I8" s="336">
        <f t="shared" si="3"/>
        <v>0.32258064516129026</v>
      </c>
    </row>
    <row r="9" spans="1:9" ht="13.5" hidden="1">
      <c r="A9" s="274" t="s">
        <v>106</v>
      </c>
      <c r="B9" s="344"/>
      <c r="C9" s="327" t="s">
        <v>268</v>
      </c>
      <c r="D9" s="329">
        <v>0.3644</v>
      </c>
      <c r="E9" s="349">
        <f t="shared" si="0"/>
        <v>0</v>
      </c>
      <c r="F9" s="350">
        <f>E9*(1/$E$14)</f>
        <v>0</v>
      </c>
      <c r="G9" s="327">
        <v>8</v>
      </c>
      <c r="H9" s="328">
        <f t="shared" si="2"/>
        <v>0</v>
      </c>
      <c r="I9" s="329">
        <f t="shared" si="3"/>
        <v>0</v>
      </c>
    </row>
    <row r="10" spans="1:9" ht="13.5" hidden="1">
      <c r="A10" s="274" t="s">
        <v>106</v>
      </c>
      <c r="B10" s="344"/>
      <c r="C10" s="327" t="s">
        <v>107</v>
      </c>
      <c r="D10" s="329">
        <v>0.79</v>
      </c>
      <c r="E10" s="349">
        <f t="shared" si="0"/>
        <v>0</v>
      </c>
      <c r="F10" s="350">
        <f t="shared" si="1"/>
        <v>0</v>
      </c>
      <c r="G10" s="328">
        <v>4</v>
      </c>
      <c r="H10" s="328">
        <f t="shared" si="2"/>
        <v>0</v>
      </c>
      <c r="I10" s="329">
        <f t="shared" si="3"/>
        <v>0</v>
      </c>
    </row>
    <row r="11" spans="1:9" ht="15">
      <c r="A11" s="274" t="s">
        <v>108</v>
      </c>
      <c r="B11" s="344">
        <f>'Effect Est'!B30</f>
        <v>1</v>
      </c>
      <c r="C11" s="274" t="s">
        <v>109</v>
      </c>
      <c r="D11" s="336">
        <v>0.075</v>
      </c>
      <c r="E11" s="349">
        <f t="shared" si="0"/>
        <v>13.333333333333334</v>
      </c>
      <c r="F11" s="350">
        <f t="shared" si="1"/>
        <v>0.05333333333333334</v>
      </c>
      <c r="G11" s="333">
        <v>50</v>
      </c>
      <c r="H11" s="333">
        <f t="shared" si="2"/>
        <v>2.666666666666667</v>
      </c>
      <c r="I11" s="336">
        <f t="shared" si="3"/>
        <v>0.40962621607782906</v>
      </c>
    </row>
    <row r="12" spans="1:14" ht="15">
      <c r="A12" s="274" t="s">
        <v>110</v>
      </c>
      <c r="B12" s="274"/>
      <c r="C12" s="274"/>
      <c r="D12" s="274"/>
      <c r="E12" s="349">
        <f>SUM(E3:E11)</f>
        <v>203.05555555555557</v>
      </c>
      <c r="F12" s="350">
        <f>SUM(F3:F11)</f>
        <v>0.8122222222222222</v>
      </c>
      <c r="G12" s="333"/>
      <c r="H12" s="333"/>
      <c r="I12" s="336"/>
      <c r="M12" s="2"/>
      <c r="N12" s="2"/>
    </row>
    <row r="13" spans="1:13" ht="15">
      <c r="A13" s="274" t="s">
        <v>111</v>
      </c>
      <c r="B13" s="274"/>
      <c r="C13" s="274"/>
      <c r="D13" s="274"/>
      <c r="E13" s="349">
        <f>E14-E12</f>
        <v>46.94444444444443</v>
      </c>
      <c r="F13" s="350">
        <f>E13*(1/$E$14)</f>
        <v>0.1877777777777777</v>
      </c>
      <c r="G13" s="333">
        <v>1</v>
      </c>
      <c r="H13" s="333">
        <f>F13*G13</f>
        <v>0.1877777777777777</v>
      </c>
      <c r="I13" s="336">
        <f>H13/$H$18</f>
        <v>0.02884451271548045</v>
      </c>
      <c r="M13" s="2"/>
    </row>
    <row r="14" spans="1:9" ht="12">
      <c r="A14" s="16"/>
      <c r="B14" s="16"/>
      <c r="C14" s="16"/>
      <c r="D14" s="18" t="s">
        <v>215</v>
      </c>
      <c r="E14" s="42">
        <v>250</v>
      </c>
      <c r="F14" s="17">
        <f>SUM(F12:F13)</f>
        <v>0.9999999999999999</v>
      </c>
      <c r="G14" s="14"/>
      <c r="H14" s="14"/>
      <c r="I14" s="15"/>
    </row>
    <row r="15" spans="4:9" ht="13.5">
      <c r="D15" s="403" t="s">
        <v>285</v>
      </c>
      <c r="E15" s="404"/>
      <c r="G15" s="353" t="s">
        <v>112</v>
      </c>
      <c r="H15" s="354">
        <f>SUM(H3:H13)</f>
        <v>5.31</v>
      </c>
      <c r="I15" s="355">
        <f>H15/H$18</f>
        <v>0.815668202764977</v>
      </c>
    </row>
    <row r="16" spans="7:9" ht="13.5">
      <c r="G16" s="353" t="s">
        <v>166</v>
      </c>
      <c r="H16" s="354">
        <v>1</v>
      </c>
      <c r="I16" s="355">
        <f>H16/H$18</f>
        <v>0.15360983102918588</v>
      </c>
    </row>
    <row r="17" spans="2:9" ht="13.5">
      <c r="B17" s="405" t="s">
        <v>399</v>
      </c>
      <c r="C17" s="406"/>
      <c r="D17" s="407"/>
      <c r="G17" s="353" t="s">
        <v>113</v>
      </c>
      <c r="H17" s="354">
        <v>0.2</v>
      </c>
      <c r="I17" s="355">
        <f>H17/H$18</f>
        <v>0.030721966205837177</v>
      </c>
    </row>
    <row r="18" spans="2:9" ht="27.75">
      <c r="B18" s="113" t="s">
        <v>218</v>
      </c>
      <c r="C18" s="113" t="s">
        <v>286</v>
      </c>
      <c r="D18" s="113" t="s">
        <v>287</v>
      </c>
      <c r="G18" s="353" t="s">
        <v>114</v>
      </c>
      <c r="H18" s="354">
        <f>SUM(H15:H17)</f>
        <v>6.51</v>
      </c>
      <c r="I18" s="356"/>
    </row>
    <row r="19" spans="2:9" ht="13.5">
      <c r="B19" s="63" t="s">
        <v>249</v>
      </c>
      <c r="C19" s="64">
        <v>0.32</v>
      </c>
      <c r="D19" s="65">
        <v>2.8</v>
      </c>
      <c r="G19" s="357" t="s">
        <v>115</v>
      </c>
      <c r="H19" s="358">
        <f>H18*E14/1000</f>
        <v>1.6275</v>
      </c>
      <c r="I19" s="359"/>
    </row>
    <row r="20" spans="2:10" ht="13.5">
      <c r="B20" s="63" t="s">
        <v>248</v>
      </c>
      <c r="C20" s="64">
        <f>C19</f>
        <v>0.32</v>
      </c>
      <c r="D20" s="65">
        <v>1.8</v>
      </c>
      <c r="G20" s="274" t="s">
        <v>116</v>
      </c>
      <c r="H20" s="278">
        <v>0.05</v>
      </c>
      <c r="I20" s="274" t="s">
        <v>391</v>
      </c>
      <c r="J20" s="44"/>
    </row>
    <row r="21" spans="2:9" ht="13.5">
      <c r="B21" s="63" t="s">
        <v>214</v>
      </c>
      <c r="C21" s="66">
        <v>0.125</v>
      </c>
      <c r="D21" s="67">
        <v>6</v>
      </c>
      <c r="G21" s="274" t="s">
        <v>117</v>
      </c>
      <c r="H21" s="278">
        <v>0.15</v>
      </c>
      <c r="I21" s="274" t="s">
        <v>391</v>
      </c>
    </row>
    <row r="22" spans="4:9" ht="13.5">
      <c r="D22" s="47"/>
      <c r="G22" s="274" t="s">
        <v>216</v>
      </c>
      <c r="H22" s="333">
        <f>H18+H20+H21</f>
        <v>6.71</v>
      </c>
      <c r="I22" s="352"/>
    </row>
    <row r="23" spans="4:9" ht="13.5">
      <c r="D23" s="34"/>
      <c r="G23" s="274" t="s">
        <v>187</v>
      </c>
      <c r="H23" s="333">
        <f>H22*E14/1000</f>
        <v>1.6775</v>
      </c>
      <c r="I23" s="274"/>
    </row>
    <row r="24" spans="7:9" ht="13.5">
      <c r="G24" s="273" t="s">
        <v>217</v>
      </c>
      <c r="H24" s="351">
        <f>H23*'Cons Cov'!F9</f>
        <v>442860</v>
      </c>
      <c r="I24" s="347"/>
    </row>
  </sheetData>
  <sheetProtection/>
  <mergeCells count="2">
    <mergeCell ref="D15:E15"/>
    <mergeCell ref="B17:D17"/>
  </mergeCells>
  <printOptions/>
  <pageMargins left="0.7" right="0.7" top="0.75" bottom="0.75" header="0.3" footer="0.3"/>
  <pageSetup orientation="portrait"/>
  <legacyDrawing r:id="rId2"/>
</worksheet>
</file>

<file path=xl/worksheets/sheet16.xml><?xml version="1.0" encoding="utf-8"?>
<worksheet xmlns="http://schemas.openxmlformats.org/spreadsheetml/2006/main" xmlns:r="http://schemas.openxmlformats.org/officeDocument/2006/relationships">
  <sheetPr>
    <tabColor rgb="FF7030A0"/>
  </sheetPr>
  <dimension ref="A1:G18"/>
  <sheetViews>
    <sheetView workbookViewId="0" topLeftCell="A1">
      <selection activeCell="C24" sqref="C24"/>
    </sheetView>
  </sheetViews>
  <sheetFormatPr defaultColWidth="8.8515625" defaultRowHeight="12.75"/>
  <cols>
    <col min="1" max="1" width="35.140625" style="0" bestFit="1" customWidth="1"/>
    <col min="2" max="2" width="38.8515625" style="0" customWidth="1"/>
    <col min="3" max="3" width="15.8515625" style="0" customWidth="1"/>
    <col min="4" max="4" width="10.140625" style="0" bestFit="1" customWidth="1"/>
    <col min="5" max="5" width="17.7109375" style="0" bestFit="1" customWidth="1"/>
    <col min="6" max="6" width="9.8515625" style="0" bestFit="1" customWidth="1"/>
  </cols>
  <sheetData>
    <row r="1" spans="1:5" ht="12.75">
      <c r="A1" s="363" t="s">
        <v>121</v>
      </c>
      <c r="B1" s="408"/>
      <c r="C1" s="408"/>
      <c r="D1" s="408"/>
      <c r="E1" s="364"/>
    </row>
    <row r="2" spans="1:5" ht="12.75">
      <c r="A2" s="361"/>
      <c r="B2" s="193" t="s">
        <v>122</v>
      </c>
      <c r="C2" s="193" t="s">
        <v>40</v>
      </c>
      <c r="D2" s="193" t="s">
        <v>123</v>
      </c>
      <c r="E2" s="365" t="s">
        <v>0</v>
      </c>
    </row>
    <row r="3" spans="1:5" ht="12.75">
      <c r="A3" s="193" t="s">
        <v>124</v>
      </c>
      <c r="B3" s="154"/>
      <c r="C3" s="154"/>
      <c r="D3" s="154"/>
      <c r="E3" s="364"/>
    </row>
    <row r="4" spans="1:5" ht="25.5">
      <c r="A4" s="361" t="s">
        <v>376</v>
      </c>
      <c r="B4" s="154" t="s">
        <v>133</v>
      </c>
      <c r="C4" s="360">
        <v>15</v>
      </c>
      <c r="D4" s="367">
        <v>15000</v>
      </c>
      <c r="E4" s="364">
        <f>C4*D4</f>
        <v>225000</v>
      </c>
    </row>
    <row r="5" spans="1:5" ht="12.75">
      <c r="A5" s="361" t="s">
        <v>125</v>
      </c>
      <c r="B5" s="154" t="s">
        <v>421</v>
      </c>
      <c r="C5" s="360">
        <v>10</v>
      </c>
      <c r="D5" s="367">
        <v>10000</v>
      </c>
      <c r="E5" s="364">
        <f>C5*D5</f>
        <v>100000</v>
      </c>
    </row>
    <row r="6" spans="1:5" ht="25.5">
      <c r="A6" s="361" t="s">
        <v>377</v>
      </c>
      <c r="B6" s="154" t="s">
        <v>421</v>
      </c>
      <c r="C6" s="360">
        <v>10</v>
      </c>
      <c r="D6" s="367">
        <v>10000</v>
      </c>
      <c r="E6" s="364">
        <f>C6*D6</f>
        <v>100000</v>
      </c>
    </row>
    <row r="7" spans="1:5" ht="12.75">
      <c r="A7" s="361"/>
      <c r="B7" s="154"/>
      <c r="C7" s="154"/>
      <c r="D7" s="367"/>
      <c r="E7" s="364">
        <f>SUM(E4:E6)</f>
        <v>425000</v>
      </c>
    </row>
    <row r="8" spans="1:5" ht="12.75">
      <c r="A8" s="362" t="s">
        <v>126</v>
      </c>
      <c r="B8" s="154"/>
      <c r="C8" s="319"/>
      <c r="D8" s="289"/>
      <c r="E8" s="364"/>
    </row>
    <row r="9" spans="1:7" ht="15">
      <c r="A9" s="362" t="s">
        <v>186</v>
      </c>
      <c r="B9" s="154"/>
      <c r="C9" s="319"/>
      <c r="D9" s="371">
        <f>Econ!B19*150%</f>
        <v>2647.0588235294117</v>
      </c>
      <c r="E9" s="81" t="s">
        <v>270</v>
      </c>
      <c r="F9" s="97"/>
      <c r="G9" s="98"/>
    </row>
    <row r="10" spans="1:5" ht="12.75">
      <c r="A10" s="361" t="s">
        <v>127</v>
      </c>
      <c r="B10" s="289" t="s">
        <v>267</v>
      </c>
      <c r="C10" s="366">
        <f>(4*C5)</f>
        <v>40</v>
      </c>
      <c r="D10" s="367">
        <f>D9*0.1</f>
        <v>264.70588235294116</v>
      </c>
      <c r="E10" s="364">
        <f>C10*D10</f>
        <v>10588.235294117647</v>
      </c>
    </row>
    <row r="11" spans="1:5" ht="25.5">
      <c r="A11" s="361" t="s">
        <v>128</v>
      </c>
      <c r="B11" s="154" t="s">
        <v>185</v>
      </c>
      <c r="C11" s="188">
        <f>E4</f>
        <v>225000</v>
      </c>
      <c r="D11" s="289">
        <v>0.05</v>
      </c>
      <c r="E11" s="364">
        <f>C11*D11</f>
        <v>11250</v>
      </c>
    </row>
    <row r="12" spans="1:5" ht="25.5">
      <c r="A12" s="361" t="s">
        <v>129</v>
      </c>
      <c r="B12" s="154" t="s">
        <v>266</v>
      </c>
      <c r="C12" s="320">
        <f>12*C4*250</f>
        <v>45000</v>
      </c>
      <c r="D12" s="368">
        <v>0.25</v>
      </c>
      <c r="E12" s="364">
        <f>C12*D12</f>
        <v>11250</v>
      </c>
    </row>
    <row r="13" spans="1:5" ht="12.75">
      <c r="A13" s="361" t="s">
        <v>130</v>
      </c>
      <c r="B13" s="154" t="s">
        <v>131</v>
      </c>
      <c r="C13" s="372">
        <f>'Cons Cov'!F9*50</f>
        <v>13200000</v>
      </c>
      <c r="D13" s="369">
        <v>0.01</v>
      </c>
      <c r="E13" s="364">
        <f>C13*D13</f>
        <v>132000</v>
      </c>
    </row>
    <row r="14" spans="1:5" ht="12.75">
      <c r="A14" s="361" t="s">
        <v>188</v>
      </c>
      <c r="B14" s="154"/>
      <c r="C14" s="194"/>
      <c r="D14" s="369"/>
      <c r="E14" s="364">
        <f>SUM(E10:E13)</f>
        <v>165088.23529411765</v>
      </c>
    </row>
    <row r="15" spans="1:5" ht="25.5">
      <c r="A15" s="361" t="s">
        <v>132</v>
      </c>
      <c r="B15" s="289" t="s">
        <v>224</v>
      </c>
      <c r="C15" s="370">
        <f>Premix!H24</f>
        <v>442860</v>
      </c>
      <c r="D15" s="92">
        <v>0.05</v>
      </c>
      <c r="E15" s="364">
        <f>C15*D15</f>
        <v>22143</v>
      </c>
    </row>
    <row r="16" spans="1:5" ht="12.75">
      <c r="A16" s="154"/>
      <c r="B16" s="154"/>
      <c r="C16" s="154"/>
      <c r="D16" s="154"/>
      <c r="E16" s="364">
        <f>SUM(E14:E15)</f>
        <v>187231.23529411765</v>
      </c>
    </row>
    <row r="17" spans="2:4" ht="15">
      <c r="B17" s="41"/>
      <c r="D17" s="19"/>
    </row>
    <row r="18" ht="12">
      <c r="E18" s="12"/>
    </row>
  </sheetData>
  <sheetProtection/>
  <mergeCells count="1">
    <mergeCell ref="B1:D1"/>
  </mergeCells>
  <printOptions/>
  <pageMargins left="0.7" right="0.7" top="0.75" bottom="0.75" header="0.3" footer="0.3"/>
  <pageSetup orientation="portrait"/>
  <legacyDrawing r:id="rId2"/>
</worksheet>
</file>

<file path=xl/worksheets/sheet17.xml><?xml version="1.0" encoding="utf-8"?>
<worksheet xmlns="http://schemas.openxmlformats.org/spreadsheetml/2006/main" xmlns:r="http://schemas.openxmlformats.org/officeDocument/2006/relationships">
  <sheetPr>
    <tabColor rgb="FF7030A0"/>
  </sheetPr>
  <dimension ref="A1:F126"/>
  <sheetViews>
    <sheetView zoomScale="101" zoomScaleNormal="101" workbookViewId="0" topLeftCell="A1">
      <selection activeCell="H17" sqref="H17"/>
    </sheetView>
  </sheetViews>
  <sheetFormatPr defaultColWidth="8.8515625" defaultRowHeight="12.75"/>
  <cols>
    <col min="1" max="1" width="37.140625" style="0" bestFit="1" customWidth="1"/>
    <col min="2" max="2" width="24.7109375" style="0" customWidth="1"/>
    <col min="3" max="3" width="69.00390625" style="0" bestFit="1" customWidth="1"/>
    <col min="4" max="4" width="9.7109375" style="0" customWidth="1"/>
    <col min="5" max="5" width="9.28125" style="0" bestFit="1" customWidth="1"/>
    <col min="6" max="7" width="4.8515625" style="0" customWidth="1"/>
    <col min="8" max="8" width="5.28125" style="0" customWidth="1"/>
    <col min="9" max="9" width="4.140625" style="0" customWidth="1"/>
    <col min="10" max="10" width="4.7109375" style="0" customWidth="1"/>
    <col min="11" max="12" width="5.28125" style="0" customWidth="1"/>
    <col min="13" max="13" width="4.00390625" style="0" customWidth="1"/>
    <col min="14" max="14" width="5.00390625" style="0" customWidth="1"/>
    <col min="15" max="15" width="4.28125" style="0" customWidth="1"/>
  </cols>
  <sheetData>
    <row r="1" spans="1:6" ht="12">
      <c r="A1" s="193" t="s">
        <v>134</v>
      </c>
      <c r="B1" s="154"/>
      <c r="C1" s="193" t="s">
        <v>41</v>
      </c>
      <c r="D1" s="2"/>
      <c r="E1" s="2"/>
      <c r="F1" s="2"/>
    </row>
    <row r="2" spans="1:6" ht="12">
      <c r="A2" s="193" t="s">
        <v>122</v>
      </c>
      <c r="B2" s="193"/>
      <c r="C2" s="154"/>
      <c r="D2" s="2"/>
      <c r="E2" s="2"/>
      <c r="F2" s="2"/>
    </row>
    <row r="3" spans="1:6" ht="12">
      <c r="A3" s="154" t="s">
        <v>135</v>
      </c>
      <c r="B3" s="379">
        <v>50000</v>
      </c>
      <c r="C3" s="154" t="s">
        <v>400</v>
      </c>
      <c r="D3" s="82"/>
      <c r="E3" s="2"/>
      <c r="F3" s="2"/>
    </row>
    <row r="4" spans="1:6" ht="12">
      <c r="A4" s="154" t="s">
        <v>136</v>
      </c>
      <c r="B4" s="379">
        <v>50000</v>
      </c>
      <c r="C4" s="154" t="s">
        <v>400</v>
      </c>
      <c r="D4" s="2"/>
      <c r="E4" s="2"/>
      <c r="F4" s="2"/>
    </row>
    <row r="5" spans="1:6" ht="12">
      <c r="A5" s="154" t="s">
        <v>168</v>
      </c>
      <c r="B5" s="379">
        <v>250000</v>
      </c>
      <c r="C5" s="154" t="s">
        <v>400</v>
      </c>
      <c r="D5" s="2"/>
      <c r="E5" s="2"/>
      <c r="F5" s="2"/>
    </row>
    <row r="6" spans="1:6" ht="12">
      <c r="A6" s="154" t="s">
        <v>138</v>
      </c>
      <c r="B6" s="379">
        <v>50000</v>
      </c>
      <c r="C6" s="154" t="s">
        <v>400</v>
      </c>
      <c r="D6" s="2"/>
      <c r="E6" s="2"/>
      <c r="F6" s="2"/>
    </row>
    <row r="7" spans="1:6" ht="12">
      <c r="A7" s="187" t="s">
        <v>225</v>
      </c>
      <c r="B7" s="190">
        <f>SUM(B3:B6)</f>
        <v>400000</v>
      </c>
      <c r="C7" s="154"/>
      <c r="D7" s="2"/>
      <c r="E7" s="2"/>
      <c r="F7" s="2"/>
    </row>
    <row r="8" spans="1:6" ht="12">
      <c r="A8" s="380" t="s">
        <v>157</v>
      </c>
      <c r="B8" s="193"/>
      <c r="C8" s="154"/>
      <c r="D8" s="2"/>
      <c r="E8" s="2"/>
      <c r="F8" s="2"/>
    </row>
    <row r="9" spans="1:6" ht="12">
      <c r="A9" s="193" t="s">
        <v>158</v>
      </c>
      <c r="B9" s="154"/>
      <c r="C9" s="154"/>
      <c r="D9" s="2"/>
      <c r="E9" s="2"/>
      <c r="F9" s="2"/>
    </row>
    <row r="10" spans="1:6" ht="12">
      <c r="A10" s="154" t="s">
        <v>137</v>
      </c>
      <c r="B10" s="360">
        <v>4</v>
      </c>
      <c r="C10" s="154" t="s">
        <v>400</v>
      </c>
      <c r="D10" s="2"/>
      <c r="E10" s="2"/>
      <c r="F10" s="2"/>
    </row>
    <row r="11" spans="1:6" ht="12">
      <c r="A11" s="154" t="s">
        <v>160</v>
      </c>
      <c r="B11" s="154">
        <f>B10*Mill!C5</f>
        <v>40</v>
      </c>
      <c r="C11" s="154" t="s">
        <v>44</v>
      </c>
      <c r="D11" s="2"/>
      <c r="E11" s="2"/>
      <c r="F11" s="2"/>
    </row>
    <row r="12" spans="1:6" ht="12">
      <c r="A12" s="154" t="s">
        <v>159</v>
      </c>
      <c r="B12" s="373">
        <v>300</v>
      </c>
      <c r="C12" s="154" t="s">
        <v>232</v>
      </c>
      <c r="D12" s="2"/>
      <c r="E12" s="2"/>
      <c r="F12" s="2"/>
    </row>
    <row r="13" spans="1:6" ht="12">
      <c r="A13" s="193" t="s">
        <v>161</v>
      </c>
      <c r="B13" s="367">
        <f>B11*B12</f>
        <v>12000</v>
      </c>
      <c r="C13" s="154" t="s">
        <v>44</v>
      </c>
      <c r="D13" s="2"/>
      <c r="E13" s="2"/>
      <c r="F13" s="2"/>
    </row>
    <row r="14" spans="1:6" ht="12">
      <c r="A14" s="154" t="s">
        <v>378</v>
      </c>
      <c r="B14" s="373">
        <v>75</v>
      </c>
      <c r="C14" s="154" t="s">
        <v>288</v>
      </c>
      <c r="D14" s="2"/>
      <c r="E14" s="2"/>
      <c r="F14" s="2"/>
    </row>
    <row r="15" spans="1:6" ht="12">
      <c r="A15" s="154" t="s">
        <v>379</v>
      </c>
      <c r="B15" s="367">
        <f>B14*B11</f>
        <v>3000</v>
      </c>
      <c r="C15" s="154" t="s">
        <v>44</v>
      </c>
      <c r="D15" s="2"/>
      <c r="E15" s="2"/>
      <c r="F15" s="2"/>
    </row>
    <row r="16" spans="1:6" ht="12">
      <c r="A16" s="154" t="s">
        <v>290</v>
      </c>
      <c r="B16" s="373">
        <v>1000</v>
      </c>
      <c r="C16" s="154" t="s">
        <v>289</v>
      </c>
      <c r="D16" s="2"/>
      <c r="E16" s="2"/>
      <c r="F16" s="2"/>
    </row>
    <row r="17" spans="1:6" ht="12">
      <c r="A17" s="193" t="s">
        <v>272</v>
      </c>
      <c r="B17" s="381">
        <f>B15+B13+B16</f>
        <v>16000</v>
      </c>
      <c r="C17" s="154"/>
      <c r="D17" s="2"/>
      <c r="E17" s="2"/>
      <c r="F17" s="2"/>
    </row>
    <row r="18" spans="1:6" ht="12">
      <c r="A18" s="154"/>
      <c r="B18" s="367"/>
      <c r="C18" s="154"/>
      <c r="D18" s="2"/>
      <c r="E18" s="2"/>
      <c r="F18" s="2"/>
    </row>
    <row r="19" spans="1:6" ht="12">
      <c r="A19" s="193" t="s">
        <v>162</v>
      </c>
      <c r="B19" s="367"/>
      <c r="C19" s="154"/>
      <c r="D19" s="2"/>
      <c r="E19" s="2"/>
      <c r="F19" s="2"/>
    </row>
    <row r="20" spans="1:6" ht="12">
      <c r="A20" s="154" t="s">
        <v>164</v>
      </c>
      <c r="B20" s="373">
        <v>50000</v>
      </c>
      <c r="C20" s="154" t="s">
        <v>400</v>
      </c>
      <c r="D20" s="2"/>
      <c r="E20" s="2"/>
      <c r="F20" s="2"/>
    </row>
    <row r="21" spans="1:6" ht="12">
      <c r="A21" s="154"/>
      <c r="B21" s="154"/>
      <c r="C21" s="154" t="s">
        <v>401</v>
      </c>
      <c r="D21" s="2"/>
      <c r="E21" s="2"/>
      <c r="F21" s="2"/>
    </row>
    <row r="22" spans="1:6" ht="12">
      <c r="A22" s="193" t="s">
        <v>163</v>
      </c>
      <c r="B22" s="154"/>
      <c r="C22" s="154"/>
      <c r="D22" s="2"/>
      <c r="E22" s="2"/>
      <c r="F22" s="2"/>
    </row>
    <row r="23" spans="1:6" ht="12">
      <c r="A23" s="154" t="s">
        <v>265</v>
      </c>
      <c r="B23" s="373">
        <v>100000</v>
      </c>
      <c r="C23" s="154" t="s">
        <v>400</v>
      </c>
      <c r="D23" s="2"/>
      <c r="E23" s="2"/>
      <c r="F23" s="2"/>
    </row>
    <row r="24" spans="1:6" ht="12">
      <c r="A24" s="154"/>
      <c r="B24" s="154"/>
      <c r="C24" s="347"/>
      <c r="D24" s="2"/>
      <c r="E24" s="2"/>
      <c r="F24" s="2"/>
    </row>
    <row r="25" spans="1:6" ht="12">
      <c r="A25" s="154"/>
      <c r="B25" s="154"/>
      <c r="C25" s="347"/>
      <c r="D25" s="2"/>
      <c r="E25" s="2"/>
      <c r="F25" s="2"/>
    </row>
    <row r="26" spans="1:6" ht="12">
      <c r="A26" s="154"/>
      <c r="B26" s="154"/>
      <c r="C26" s="347"/>
      <c r="D26" s="2"/>
      <c r="E26" s="2"/>
      <c r="F26" s="2"/>
    </row>
    <row r="27" spans="1:6" ht="12">
      <c r="A27" s="154"/>
      <c r="B27" s="154"/>
      <c r="C27" s="347"/>
      <c r="D27" s="2"/>
      <c r="E27" s="2"/>
      <c r="F27" s="2"/>
    </row>
    <row r="28" spans="1:6" ht="12">
      <c r="A28" s="374" t="s">
        <v>239</v>
      </c>
      <c r="B28" s="375"/>
      <c r="C28" s="375"/>
      <c r="D28" s="375"/>
      <c r="E28" s="375"/>
      <c r="F28" s="2"/>
    </row>
    <row r="29" spans="1:6" ht="12">
      <c r="A29" s="375"/>
      <c r="B29" s="374" t="s">
        <v>236</v>
      </c>
      <c r="C29" s="374" t="s">
        <v>237</v>
      </c>
      <c r="D29" s="374" t="s">
        <v>238</v>
      </c>
      <c r="E29" s="374" t="s">
        <v>240</v>
      </c>
      <c r="F29" s="2"/>
    </row>
    <row r="30" spans="1:6" ht="12">
      <c r="A30" s="376">
        <f>'Cons Cov'!A9</f>
        <v>2014</v>
      </c>
      <c r="B30" s="377">
        <f>B17</f>
        <v>16000</v>
      </c>
      <c r="C30" s="377">
        <f>B20</f>
        <v>50000</v>
      </c>
      <c r="D30" s="378">
        <f>B7</f>
        <v>400000</v>
      </c>
      <c r="E30" s="377">
        <f aca="true" t="shared" si="0" ref="E30:E39">SUM(B30:D30)</f>
        <v>466000</v>
      </c>
      <c r="F30" s="2"/>
    </row>
    <row r="31" spans="1:6" ht="12">
      <c r="A31" s="376">
        <f>'Cons Cov'!A10</f>
        <v>2015</v>
      </c>
      <c r="B31" s="377">
        <f aca="true" t="shared" si="1" ref="B31:B39">B30</f>
        <v>16000</v>
      </c>
      <c r="C31" s="375"/>
      <c r="D31" s="375"/>
      <c r="E31" s="377">
        <f t="shared" si="0"/>
        <v>16000</v>
      </c>
      <c r="F31" s="2"/>
    </row>
    <row r="32" spans="1:6" ht="12">
      <c r="A32" s="376">
        <f>'Cons Cov'!A11</f>
        <v>2016</v>
      </c>
      <c r="B32" s="377">
        <f t="shared" si="1"/>
        <v>16000</v>
      </c>
      <c r="C32" s="377">
        <f>B20</f>
        <v>50000</v>
      </c>
      <c r="D32" s="375"/>
      <c r="E32" s="377">
        <f t="shared" si="0"/>
        <v>66000</v>
      </c>
      <c r="F32" s="2"/>
    </row>
    <row r="33" spans="1:6" ht="12">
      <c r="A33" s="376">
        <f>'Cons Cov'!A12</f>
        <v>2017</v>
      </c>
      <c r="B33" s="377">
        <f t="shared" si="1"/>
        <v>16000</v>
      </c>
      <c r="C33" s="375"/>
      <c r="D33" s="375"/>
      <c r="E33" s="377">
        <f t="shared" si="0"/>
        <v>16000</v>
      </c>
      <c r="F33" s="2"/>
    </row>
    <row r="34" spans="1:6" ht="12">
      <c r="A34" s="376">
        <f>'Cons Cov'!A13</f>
        <v>2018</v>
      </c>
      <c r="B34" s="377">
        <f t="shared" si="1"/>
        <v>16000</v>
      </c>
      <c r="C34" s="377">
        <f>C32</f>
        <v>50000</v>
      </c>
      <c r="D34" s="375"/>
      <c r="E34" s="377">
        <f t="shared" si="0"/>
        <v>66000</v>
      </c>
      <c r="F34" s="2"/>
    </row>
    <row r="35" spans="1:6" ht="12">
      <c r="A35" s="376">
        <f>'Cons Cov'!A14</f>
        <v>2019</v>
      </c>
      <c r="B35" s="377">
        <f t="shared" si="1"/>
        <v>16000</v>
      </c>
      <c r="C35" s="377">
        <f>B23</f>
        <v>100000</v>
      </c>
      <c r="D35" s="375"/>
      <c r="E35" s="377">
        <f t="shared" si="0"/>
        <v>116000</v>
      </c>
      <c r="F35" s="2"/>
    </row>
    <row r="36" spans="1:6" ht="12">
      <c r="A36" s="376">
        <f>'Cons Cov'!A15</f>
        <v>2020</v>
      </c>
      <c r="B36" s="377">
        <f t="shared" si="1"/>
        <v>16000</v>
      </c>
      <c r="C36" s="377">
        <f>C34</f>
        <v>50000</v>
      </c>
      <c r="D36" s="375"/>
      <c r="E36" s="377">
        <f t="shared" si="0"/>
        <v>66000</v>
      </c>
      <c r="F36" s="2"/>
    </row>
    <row r="37" spans="1:6" ht="12">
      <c r="A37" s="376">
        <f>'Cons Cov'!A16</f>
        <v>2021</v>
      </c>
      <c r="B37" s="377">
        <f t="shared" si="1"/>
        <v>16000</v>
      </c>
      <c r="C37" s="375"/>
      <c r="D37" s="375"/>
      <c r="E37" s="377">
        <f t="shared" si="0"/>
        <v>16000</v>
      </c>
      <c r="F37" s="2"/>
    </row>
    <row r="38" spans="1:6" ht="12">
      <c r="A38" s="376">
        <f>'Cons Cov'!A17</f>
        <v>2022</v>
      </c>
      <c r="B38" s="377">
        <f t="shared" si="1"/>
        <v>16000</v>
      </c>
      <c r="C38" s="377">
        <f>C36</f>
        <v>50000</v>
      </c>
      <c r="D38" s="375"/>
      <c r="E38" s="377">
        <f t="shared" si="0"/>
        <v>66000</v>
      </c>
      <c r="F38" s="2"/>
    </row>
    <row r="39" spans="1:6" ht="12">
      <c r="A39" s="376">
        <f>'Cons Cov'!A18</f>
        <v>2023</v>
      </c>
      <c r="B39" s="377">
        <f t="shared" si="1"/>
        <v>16000</v>
      </c>
      <c r="C39" s="375"/>
      <c r="D39" s="375"/>
      <c r="E39" s="377">
        <f t="shared" si="0"/>
        <v>16000</v>
      </c>
      <c r="F39" s="2"/>
    </row>
    <row r="40" ht="12">
      <c r="A40" s="31"/>
    </row>
    <row r="41" ht="12">
      <c r="A41" s="31"/>
    </row>
    <row r="42" ht="12">
      <c r="A42" s="31"/>
    </row>
    <row r="43" ht="12">
      <c r="A43" s="31"/>
    </row>
    <row r="44" ht="12">
      <c r="A44" s="31"/>
    </row>
    <row r="45" ht="12">
      <c r="A45" s="31"/>
    </row>
    <row r="46" ht="12">
      <c r="A46" s="31"/>
    </row>
    <row r="47" ht="12">
      <c r="A47" s="31"/>
    </row>
    <row r="48" ht="12">
      <c r="A48" s="31"/>
    </row>
    <row r="49" ht="12">
      <c r="A49" s="31"/>
    </row>
    <row r="50" ht="12">
      <c r="A50" s="31"/>
    </row>
    <row r="51" ht="12">
      <c r="A51" s="31"/>
    </row>
    <row r="52" ht="12">
      <c r="A52" s="31"/>
    </row>
    <row r="53" ht="12">
      <c r="A53" s="31"/>
    </row>
    <row r="54" ht="12">
      <c r="A54" s="31"/>
    </row>
    <row r="55" ht="12">
      <c r="A55" s="31"/>
    </row>
    <row r="56" ht="12">
      <c r="A56" s="31"/>
    </row>
    <row r="57" ht="12">
      <c r="A57" s="31"/>
    </row>
    <row r="58" ht="12">
      <c r="A58" s="31"/>
    </row>
    <row r="59" ht="12">
      <c r="A59" s="31"/>
    </row>
    <row r="60" ht="12">
      <c r="A60" s="31"/>
    </row>
    <row r="61" ht="12">
      <c r="A61" s="31"/>
    </row>
    <row r="62" ht="12">
      <c r="A62" s="31"/>
    </row>
    <row r="63" ht="12">
      <c r="A63" s="31"/>
    </row>
    <row r="64" ht="12">
      <c r="A64" s="31"/>
    </row>
    <row r="65" ht="12">
      <c r="A65" s="31"/>
    </row>
    <row r="66" ht="12">
      <c r="A66" s="31"/>
    </row>
    <row r="67" ht="12">
      <c r="A67" s="31"/>
    </row>
    <row r="68" ht="12">
      <c r="A68" s="31"/>
    </row>
    <row r="69" ht="12">
      <c r="A69" s="31"/>
    </row>
    <row r="70" ht="12">
      <c r="A70" s="31"/>
    </row>
    <row r="71" ht="12">
      <c r="A71" s="31"/>
    </row>
    <row r="72" ht="12">
      <c r="A72" s="31"/>
    </row>
    <row r="73" ht="12">
      <c r="A73" s="31"/>
    </row>
    <row r="74" ht="12">
      <c r="A74" s="31"/>
    </row>
    <row r="75" ht="12">
      <c r="A75" s="31"/>
    </row>
    <row r="76" ht="12">
      <c r="A76" s="31"/>
    </row>
    <row r="77" ht="12">
      <c r="A77" s="31"/>
    </row>
    <row r="78" ht="12">
      <c r="A78" s="31"/>
    </row>
    <row r="79" ht="12">
      <c r="A79" s="31"/>
    </row>
    <row r="80" ht="12">
      <c r="A80" s="31"/>
    </row>
    <row r="81" ht="12">
      <c r="A81" s="31"/>
    </row>
    <row r="82" ht="12">
      <c r="A82" s="31"/>
    </row>
    <row r="83" ht="12">
      <c r="A83" s="31"/>
    </row>
    <row r="84" ht="12">
      <c r="A84" s="31"/>
    </row>
    <row r="85" ht="12">
      <c r="A85" s="31"/>
    </row>
    <row r="86" ht="12">
      <c r="A86" s="31"/>
    </row>
    <row r="87" ht="12">
      <c r="A87" s="31"/>
    </row>
    <row r="88" ht="12">
      <c r="A88" s="31"/>
    </row>
    <row r="89" ht="12">
      <c r="A89" s="31"/>
    </row>
    <row r="90" ht="12">
      <c r="A90" s="31"/>
    </row>
    <row r="91" ht="12">
      <c r="A91" s="31"/>
    </row>
    <row r="92" ht="12">
      <c r="A92" s="31"/>
    </row>
    <row r="93" ht="12">
      <c r="A93" s="31"/>
    </row>
    <row r="94" ht="12">
      <c r="A94" s="31"/>
    </row>
    <row r="95" ht="12">
      <c r="A95" s="31"/>
    </row>
    <row r="96" ht="12">
      <c r="A96" s="31"/>
    </row>
    <row r="97" ht="12">
      <c r="A97" s="31"/>
    </row>
    <row r="98" ht="12">
      <c r="A98" s="31"/>
    </row>
    <row r="99" ht="12">
      <c r="A99" s="31"/>
    </row>
    <row r="100" ht="12">
      <c r="A100" s="31"/>
    </row>
    <row r="101" ht="12">
      <c r="A101" s="31"/>
    </row>
    <row r="102" ht="12">
      <c r="A102" s="31"/>
    </row>
    <row r="103" ht="12">
      <c r="A103" s="31"/>
    </row>
    <row r="104" ht="12">
      <c r="A104" s="31"/>
    </row>
    <row r="105" ht="12">
      <c r="A105" s="31"/>
    </row>
    <row r="106" ht="12">
      <c r="A106" s="31"/>
    </row>
    <row r="107" ht="12">
      <c r="A107" s="31"/>
    </row>
    <row r="108" ht="12">
      <c r="A108" s="31"/>
    </row>
    <row r="109" ht="12">
      <c r="A109" s="31"/>
    </row>
    <row r="110" ht="12">
      <c r="A110" s="31"/>
    </row>
    <row r="111" ht="12">
      <c r="A111" s="31"/>
    </row>
    <row r="112" ht="12">
      <c r="A112" s="31"/>
    </row>
    <row r="113" ht="12">
      <c r="A113" s="31"/>
    </row>
    <row r="114" ht="12">
      <c r="A114" s="31"/>
    </row>
    <row r="115" ht="12">
      <c r="A115" s="31"/>
    </row>
    <row r="116" ht="12">
      <c r="A116" s="31"/>
    </row>
    <row r="117" ht="12">
      <c r="A117" s="31"/>
    </row>
    <row r="118" ht="12">
      <c r="A118" s="31"/>
    </row>
    <row r="119" ht="12">
      <c r="A119" s="31"/>
    </row>
    <row r="120" ht="12">
      <c r="A120" s="31"/>
    </row>
    <row r="121" ht="12">
      <c r="A121" s="31"/>
    </row>
    <row r="122" ht="12">
      <c r="A122" s="31"/>
    </row>
    <row r="123" ht="12">
      <c r="A123" s="31"/>
    </row>
    <row r="124" ht="12">
      <c r="A124" s="31"/>
    </row>
    <row r="125" ht="12">
      <c r="A125" s="31"/>
    </row>
    <row r="126" ht="12">
      <c r="A126" s="31"/>
    </row>
  </sheetData>
  <sheetProtection/>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sheetPr>
    <tabColor theme="3"/>
  </sheetPr>
  <dimension ref="A1:E13"/>
  <sheetViews>
    <sheetView zoomScale="101" zoomScaleNormal="101" workbookViewId="0" topLeftCell="A1">
      <selection activeCell="H10" sqref="H10"/>
    </sheetView>
  </sheetViews>
  <sheetFormatPr defaultColWidth="8.8515625" defaultRowHeight="12.75"/>
  <cols>
    <col min="1" max="1" width="8.8515625" style="0" customWidth="1"/>
    <col min="2" max="2" width="14.28125" style="0" customWidth="1"/>
    <col min="3" max="3" width="12.7109375" style="0" bestFit="1" customWidth="1"/>
    <col min="4" max="4" width="14.421875" style="0" customWidth="1"/>
    <col min="5" max="5" width="11.140625" style="0" bestFit="1" customWidth="1"/>
  </cols>
  <sheetData>
    <row r="1" spans="1:5" ht="15">
      <c r="A1" s="175"/>
      <c r="B1" s="170" t="s">
        <v>120</v>
      </c>
      <c r="C1" s="170" t="s">
        <v>380</v>
      </c>
      <c r="D1" s="170" t="s">
        <v>381</v>
      </c>
      <c r="E1" s="170" t="s">
        <v>0</v>
      </c>
    </row>
    <row r="2" spans="1:5" ht="15">
      <c r="A2" s="175"/>
      <c r="B2" s="175"/>
      <c r="C2" s="382"/>
      <c r="D2" s="382"/>
      <c r="E2" s="170" t="s">
        <v>165</v>
      </c>
    </row>
    <row r="3" spans="1:5" ht="15">
      <c r="A3" s="171">
        <v>2014</v>
      </c>
      <c r="B3" s="172">
        <f>Premix!H$23*'Cons Cov'!F9*50%</f>
        <v>221430</v>
      </c>
      <c r="C3" s="172">
        <f>Mill!E7+(Mill!E14/2)+(B3*Mill!D15)</f>
        <v>518615.6176470588</v>
      </c>
      <c r="D3" s="172">
        <f>Govt!E30</f>
        <v>466000</v>
      </c>
      <c r="E3" s="324">
        <f>SUM(B3:D3)/1000000</f>
        <v>1.2060456176470589</v>
      </c>
    </row>
    <row r="4" spans="1:5" ht="15">
      <c r="A4" s="171">
        <v>2015</v>
      </c>
      <c r="B4" s="172">
        <f>Premix!H$23*'Cons Cov'!F10</f>
        <v>478953.09</v>
      </c>
      <c r="C4" s="172">
        <f>Mill!E$14+(B4*Mill!D$15)</f>
        <v>189035.88979411765</v>
      </c>
      <c r="D4" s="172">
        <f>Govt!E31</f>
        <v>16000</v>
      </c>
      <c r="E4" s="324">
        <f aca="true" t="shared" si="0" ref="E4:E12">SUM(B4:D4)/1000000</f>
        <v>0.6839889797941177</v>
      </c>
    </row>
    <row r="5" spans="1:5" ht="15">
      <c r="A5" s="171">
        <v>2016</v>
      </c>
      <c r="B5" s="172">
        <f>Premix!H$23*'Cons Cov'!F11</f>
        <v>550362.0022621875</v>
      </c>
      <c r="C5" s="172">
        <f>Mill!E$14+(B5*Mill!D$15)</f>
        <v>192606.33540722704</v>
      </c>
      <c r="D5" s="172">
        <f>Govt!E32</f>
        <v>66000</v>
      </c>
      <c r="E5" s="324">
        <f t="shared" si="0"/>
        <v>0.8089683376694146</v>
      </c>
    </row>
    <row r="6" spans="1:5" ht="15">
      <c r="A6" s="171">
        <v>2017</v>
      </c>
      <c r="B6" s="172">
        <f>Premix!H$23*'Cons Cov'!F12</f>
        <v>595216.5054465558</v>
      </c>
      <c r="C6" s="172">
        <f>Mill!E$14+(B6*Mill!D$15)</f>
        <v>194849.06056644543</v>
      </c>
      <c r="D6" s="172">
        <f>Govt!E33</f>
        <v>16000</v>
      </c>
      <c r="E6" s="324">
        <f t="shared" si="0"/>
        <v>0.8060655660130013</v>
      </c>
    </row>
    <row r="7" spans="1:5" ht="13.5">
      <c r="A7" s="171">
        <v>2018</v>
      </c>
      <c r="B7" s="172">
        <f>Premix!H$23*'Cons Cov'!F13</f>
        <v>681592.9242075356</v>
      </c>
      <c r="C7" s="172">
        <f>Mill!E$14+(B7*Mill!D$15)</f>
        <v>199167.88150449443</v>
      </c>
      <c r="D7" s="172">
        <f>Govt!E34</f>
        <v>66000</v>
      </c>
      <c r="E7" s="324">
        <f t="shared" si="0"/>
        <v>0.94676080571203</v>
      </c>
    </row>
    <row r="8" spans="1:5" ht="13.5">
      <c r="A8" s="171">
        <v>2019</v>
      </c>
      <c r="B8" s="172">
        <f>Premix!H$23*'Cons Cov'!F14</f>
        <v>737142.7475304498</v>
      </c>
      <c r="C8" s="172">
        <f>Mill!E$14+(B8*Mill!D$15)</f>
        <v>201945.37267064015</v>
      </c>
      <c r="D8" s="172">
        <f>Govt!E35</f>
        <v>116000</v>
      </c>
      <c r="E8" s="324">
        <f t="shared" si="0"/>
        <v>1.0550881202010898</v>
      </c>
    </row>
    <row r="9" spans="1:5" ht="13.5">
      <c r="A9" s="171">
        <v>2020</v>
      </c>
      <c r="B9" s="172">
        <f>Premix!H$23*'Cons Cov'!F15</f>
        <v>823793.8775026543</v>
      </c>
      <c r="C9" s="172">
        <f>Mill!E$14+(B9*Mill!D$15)</f>
        <v>206277.92916925036</v>
      </c>
      <c r="D9" s="172">
        <f>Govt!E36</f>
        <v>66000</v>
      </c>
      <c r="E9" s="324">
        <f t="shared" si="0"/>
        <v>1.0960718066719046</v>
      </c>
    </row>
    <row r="10" spans="1:5" ht="13.5">
      <c r="A10" s="171">
        <v>2021</v>
      </c>
      <c r="B10" s="172">
        <f>Premix!H$23*'Cons Cov'!F16</f>
        <v>890933.0785191208</v>
      </c>
      <c r="C10" s="172">
        <f>Mill!E$14+(B10*Mill!D$15)</f>
        <v>209634.8892200737</v>
      </c>
      <c r="D10" s="172">
        <f>Govt!E37</f>
        <v>16000</v>
      </c>
      <c r="E10" s="324">
        <f t="shared" si="0"/>
        <v>1.1165679677391946</v>
      </c>
    </row>
    <row r="11" spans="1:5" ht="13.5">
      <c r="A11" s="171">
        <v>2022</v>
      </c>
      <c r="B11" s="172">
        <f>Premix!H$23*'Cons Cov'!F17</f>
        <v>984265.5034381802</v>
      </c>
      <c r="C11" s="172">
        <f>Mill!E$14+(B11*Mill!D$15)</f>
        <v>214301.51046602667</v>
      </c>
      <c r="D11" s="172">
        <f>Govt!E38</f>
        <v>66000</v>
      </c>
      <c r="E11" s="324">
        <f>SUM(B11:D11)/1000000</f>
        <v>1.264567013904207</v>
      </c>
    </row>
    <row r="12" spans="1:5" ht="13.5">
      <c r="A12" s="171">
        <v>2023</v>
      </c>
      <c r="B12" s="172">
        <f>Premix!H$23*'Cons Cov'!F18</f>
        <v>1064483.1419683918</v>
      </c>
      <c r="C12" s="172">
        <f>Mill!E$14+(B12*Mill!D$15)</f>
        <v>218312.39239253724</v>
      </c>
      <c r="D12" s="172">
        <f>Govt!E39</f>
        <v>16000</v>
      </c>
      <c r="E12" s="324">
        <f t="shared" si="0"/>
        <v>1.2987955343609292</v>
      </c>
    </row>
    <row r="13" spans="1:5" ht="13.5">
      <c r="A13" s="175"/>
      <c r="B13" s="383">
        <f>SUM(B3:B12)</f>
        <v>7028172.870875075</v>
      </c>
      <c r="C13" s="383">
        <f>SUM(C3:C12)</f>
        <v>2344746.8788378714</v>
      </c>
      <c r="D13" s="383">
        <f>SUM(D3:D12)</f>
        <v>910000</v>
      </c>
      <c r="E13" s="384">
        <f>SUM(E3:E12)</f>
        <v>10.282919749712946</v>
      </c>
    </row>
  </sheetData>
  <sheetProtection/>
  <printOptions/>
  <pageMargins left="0.7" right="0.7" top="0.75" bottom="0.75" header="0.3" footer="0.3"/>
  <pageSetup orientation="portrait"/>
  <legacyDrawing r:id="rId2"/>
</worksheet>
</file>

<file path=xl/worksheets/sheet19.xml><?xml version="1.0" encoding="utf-8"?>
<worksheet xmlns="http://schemas.openxmlformats.org/spreadsheetml/2006/main" xmlns:r="http://schemas.openxmlformats.org/officeDocument/2006/relationships">
  <sheetPr>
    <tabColor theme="3"/>
  </sheetPr>
  <dimension ref="A1:E16"/>
  <sheetViews>
    <sheetView zoomScale="101" zoomScaleNormal="101" workbookViewId="0" topLeftCell="A1">
      <selection activeCell="E25" sqref="E25"/>
    </sheetView>
  </sheetViews>
  <sheetFormatPr defaultColWidth="8.8515625" defaultRowHeight="12.75"/>
  <cols>
    <col min="1" max="1" width="5.28125" style="0" bestFit="1" customWidth="1"/>
    <col min="2" max="2" width="13.28125" style="0" customWidth="1"/>
    <col min="3" max="3" width="15.28125" style="0" customWidth="1"/>
    <col min="4" max="4" width="16.8515625" style="0" customWidth="1"/>
    <col min="5" max="5" width="45.421875" style="0" bestFit="1" customWidth="1"/>
    <col min="6" max="6" width="2.7109375" style="0" customWidth="1"/>
    <col min="7" max="7" width="28.421875" style="0" customWidth="1"/>
    <col min="8" max="8" width="2.7109375" style="0" customWidth="1"/>
    <col min="9" max="9" width="3.140625" style="0" customWidth="1"/>
    <col min="10" max="12" width="3.421875" style="0" customWidth="1"/>
    <col min="13" max="14" width="4.00390625" style="0" customWidth="1"/>
    <col min="15" max="15" width="3.8515625" style="0" customWidth="1"/>
    <col min="16" max="16" width="3.421875" style="0" customWidth="1"/>
    <col min="17" max="17" width="4.28125" style="0" customWidth="1"/>
    <col min="18" max="18" width="3.7109375" style="0" customWidth="1"/>
    <col min="19" max="19" width="4.00390625" style="0" customWidth="1"/>
  </cols>
  <sheetData>
    <row r="1" spans="1:5" ht="12">
      <c r="A1" s="385"/>
      <c r="B1" s="386" t="s">
        <v>145</v>
      </c>
      <c r="C1" s="387" t="s">
        <v>140</v>
      </c>
      <c r="D1" s="387" t="s">
        <v>247</v>
      </c>
      <c r="E1" s="386" t="s">
        <v>383</v>
      </c>
    </row>
    <row r="2" spans="1:5" ht="12">
      <c r="A2" s="385"/>
      <c r="B2" s="388" t="s">
        <v>165</v>
      </c>
      <c r="C2" s="388" t="s">
        <v>165</v>
      </c>
      <c r="D2" s="387"/>
      <c r="E2" s="385" t="s">
        <v>234</v>
      </c>
    </row>
    <row r="3" spans="1:5" ht="12">
      <c r="A3" s="389">
        <v>2014</v>
      </c>
      <c r="B3" s="390">
        <f>'SUM Cost'!E3</f>
        <v>1.2060456176470589</v>
      </c>
      <c r="C3" s="390">
        <v>0</v>
      </c>
      <c r="D3" s="391">
        <f>C3/B3</f>
        <v>0</v>
      </c>
      <c r="E3" s="385" t="s">
        <v>219</v>
      </c>
    </row>
    <row r="4" spans="1:5" ht="12">
      <c r="A4" s="389">
        <v>2015</v>
      </c>
      <c r="B4" s="390">
        <f>'SUM Cost'!E4</f>
        <v>0.6839889797941177</v>
      </c>
      <c r="C4" s="390">
        <f>'SUM Fin Ben'!C31*50%</f>
        <v>6.251038389048169</v>
      </c>
      <c r="D4" s="392">
        <f aca="true" t="shared" si="0" ref="D4:D11">C4/B4</f>
        <v>9.139092256909969</v>
      </c>
      <c r="E4" s="385" t="s">
        <v>273</v>
      </c>
    </row>
    <row r="5" spans="1:5" ht="12">
      <c r="A5" s="389">
        <v>2016</v>
      </c>
      <c r="B5" s="390">
        <f>'SUM Cost'!E5</f>
        <v>0.8089683376694146</v>
      </c>
      <c r="C5" s="390">
        <f>'SUM Fin Ben'!C32</f>
        <v>13.356814823900123</v>
      </c>
      <c r="D5" s="392">
        <f t="shared" si="0"/>
        <v>16.51092410165303</v>
      </c>
      <c r="E5" s="385"/>
    </row>
    <row r="6" spans="1:5" ht="12">
      <c r="A6" s="389">
        <v>2017</v>
      </c>
      <c r="B6" s="390">
        <f>'SUM Cost'!E6</f>
        <v>0.8060655660130013</v>
      </c>
      <c r="C6" s="390">
        <f>'SUM Fin Ben'!C33</f>
        <v>15.163236123205353</v>
      </c>
      <c r="D6" s="392">
        <f t="shared" si="0"/>
        <v>18.811417783551345</v>
      </c>
      <c r="E6" s="385"/>
    </row>
    <row r="7" spans="1:5" ht="12">
      <c r="A7" s="389">
        <v>2018</v>
      </c>
      <c r="B7" s="390">
        <f>'SUM Cost'!E7</f>
        <v>0.94676080571203</v>
      </c>
      <c r="C7" s="390">
        <f>'SUM Fin Ben'!C34</f>
        <v>16.2028512795948</v>
      </c>
      <c r="D7" s="392">
        <f t="shared" si="0"/>
        <v>17.113986111211194</v>
      </c>
      <c r="E7" s="385"/>
    </row>
    <row r="8" spans="1:5" ht="12">
      <c r="A8" s="389">
        <v>2019</v>
      </c>
      <c r="B8" s="390">
        <f>'SUM Cost'!E8</f>
        <v>1.0550881202010898</v>
      </c>
      <c r="C8" s="390">
        <f>'SUM Fin Ben'!C35</f>
        <v>18.333874230011</v>
      </c>
      <c r="D8" s="392">
        <f t="shared" si="0"/>
        <v>17.376628434141345</v>
      </c>
      <c r="E8" s="385"/>
    </row>
    <row r="9" spans="1:5" ht="12">
      <c r="A9" s="389">
        <v>2020</v>
      </c>
      <c r="B9" s="390">
        <f>'SUM Cost'!E9</f>
        <v>1.0960718066719046</v>
      </c>
      <c r="C9" s="390">
        <f>'SUM Fin Ben'!C36</f>
        <v>19.594460326307434</v>
      </c>
      <c r="D9" s="392">
        <f t="shared" si="0"/>
        <v>17.87698598489067</v>
      </c>
      <c r="E9" s="385"/>
    </row>
    <row r="10" spans="1:5" ht="12">
      <c r="A10" s="389">
        <v>2021</v>
      </c>
      <c r="B10" s="390">
        <f>'SUM Cost'!E10</f>
        <v>1.1165679677391946</v>
      </c>
      <c r="C10" s="390">
        <f>'SUM Fin Ben'!C37</f>
        <v>21.641771561182274</v>
      </c>
      <c r="D10" s="392">
        <f t="shared" si="0"/>
        <v>19.382404104787383</v>
      </c>
      <c r="E10" s="385"/>
    </row>
    <row r="11" spans="1:5" ht="12">
      <c r="A11" s="389">
        <v>2022</v>
      </c>
      <c r="B11" s="390">
        <f>'SUM Cost'!E11</f>
        <v>1.264567013904207</v>
      </c>
      <c r="C11" s="390">
        <f>'SUM Fin Ben'!C38</f>
        <v>23.134069303558828</v>
      </c>
      <c r="D11" s="392">
        <f t="shared" si="0"/>
        <v>18.294063540480167</v>
      </c>
      <c r="E11" s="385"/>
    </row>
    <row r="12" spans="1:5" ht="12">
      <c r="A12" s="389">
        <v>2023</v>
      </c>
      <c r="B12" s="390"/>
      <c r="C12" s="390">
        <f>'SUM Fin Ben'!C39</f>
        <v>25.263424733565785</v>
      </c>
      <c r="D12" s="392"/>
      <c r="E12" s="385" t="s">
        <v>220</v>
      </c>
    </row>
    <row r="13" spans="1:5" ht="12">
      <c r="A13" s="385"/>
      <c r="B13" s="390">
        <f>SUM(B3:B11)</f>
        <v>8.984124215352017</v>
      </c>
      <c r="C13" s="390">
        <f>SUM(C3:C12)</f>
        <v>158.94154077037376</v>
      </c>
      <c r="D13" s="393">
        <f>C13/B13</f>
        <v>17.691378364824413</v>
      </c>
      <c r="E13" s="394"/>
    </row>
    <row r="16" ht="12">
      <c r="D16" s="40"/>
    </row>
  </sheetData>
  <sheetProtection/>
  <printOptions/>
  <pageMargins left="0.7" right="0.7" top="0.75" bottom="0.75" header="0.3" footer="0.3"/>
  <pageSetup orientation="portrait"/>
</worksheet>
</file>

<file path=xl/worksheets/sheet2.xml><?xml version="1.0" encoding="utf-8"?>
<worksheet xmlns="http://schemas.openxmlformats.org/spreadsheetml/2006/main" xmlns:r="http://schemas.openxmlformats.org/officeDocument/2006/relationships">
  <sheetPr>
    <tabColor rgb="FFFFFF00"/>
  </sheetPr>
  <dimension ref="A1:O66"/>
  <sheetViews>
    <sheetView zoomScale="98" zoomScaleNormal="98" workbookViewId="0" topLeftCell="A1">
      <selection activeCell="B46" sqref="B46"/>
    </sheetView>
  </sheetViews>
  <sheetFormatPr defaultColWidth="11.57421875" defaultRowHeight="13.5" customHeight="1"/>
  <cols>
    <col min="1" max="1" width="39.7109375" style="4" bestFit="1" customWidth="1"/>
    <col min="2" max="2" width="12.7109375" style="4" customWidth="1"/>
    <col min="3" max="3" width="64.140625" style="4" bestFit="1" customWidth="1"/>
    <col min="4" max="4" width="11.8515625" style="0" bestFit="1" customWidth="1"/>
    <col min="5" max="5" width="7.00390625" style="0" customWidth="1"/>
    <col min="6" max="6" width="6.421875" style="0" customWidth="1"/>
    <col min="7" max="15" width="8.8515625" style="0" customWidth="1"/>
    <col min="16" max="16384" width="11.421875" style="4" customWidth="1"/>
  </cols>
  <sheetData>
    <row r="1" spans="1:4" ht="13.5" customHeight="1">
      <c r="A1" s="150" t="s">
        <v>23</v>
      </c>
      <c r="B1" s="155"/>
      <c r="C1" s="158" t="s">
        <v>275</v>
      </c>
      <c r="D1" s="102"/>
    </row>
    <row r="2" spans="1:4" ht="13.5" customHeight="1">
      <c r="A2" s="151" t="s">
        <v>25</v>
      </c>
      <c r="B2" s="122">
        <v>16500000</v>
      </c>
      <c r="C2" s="159" t="s">
        <v>301</v>
      </c>
      <c r="D2" s="102"/>
    </row>
    <row r="3" spans="1:4" ht="13.5" customHeight="1">
      <c r="A3" s="151" t="s">
        <v>395</v>
      </c>
      <c r="B3" s="123">
        <v>8000000</v>
      </c>
      <c r="C3" s="159" t="s">
        <v>301</v>
      </c>
      <c r="D3" s="102"/>
    </row>
    <row r="4" spans="1:4" ht="13.5" customHeight="1">
      <c r="A4" s="151" t="s">
        <v>302</v>
      </c>
      <c r="B4" s="123">
        <v>4000000</v>
      </c>
      <c r="C4" s="159" t="s">
        <v>301</v>
      </c>
      <c r="D4" s="102"/>
    </row>
    <row r="5" spans="1:6" ht="13.5" customHeight="1">
      <c r="A5" s="151" t="s">
        <v>303</v>
      </c>
      <c r="B5" s="123">
        <f>B3*50%</f>
        <v>4000000</v>
      </c>
      <c r="C5" s="159" t="s">
        <v>301</v>
      </c>
      <c r="D5" s="102"/>
      <c r="E5" s="2"/>
      <c r="F5" s="2"/>
    </row>
    <row r="6" spans="1:15" s="45" customFormat="1" ht="13.5" customHeight="1">
      <c r="A6" s="152" t="s">
        <v>304</v>
      </c>
      <c r="B6" s="124">
        <v>8000000</v>
      </c>
      <c r="C6" s="159" t="s">
        <v>301</v>
      </c>
      <c r="D6" s="103"/>
      <c r="E6" s="44"/>
      <c r="F6" s="44"/>
      <c r="G6" s="44"/>
      <c r="H6" s="44"/>
      <c r="I6" s="44"/>
      <c r="J6" s="44"/>
      <c r="K6" s="44"/>
      <c r="L6" s="44"/>
      <c r="M6" s="44"/>
      <c r="N6" s="44"/>
      <c r="O6" s="44"/>
    </row>
    <row r="7" spans="1:4" ht="13.5" customHeight="1">
      <c r="A7" s="152" t="s">
        <v>305</v>
      </c>
      <c r="B7" s="127">
        <f>B6/3</f>
        <v>2666666.6666666665</v>
      </c>
      <c r="C7" s="159" t="s">
        <v>407</v>
      </c>
      <c r="D7" s="102"/>
    </row>
    <row r="8" spans="1:4" ht="13.5" customHeight="1">
      <c r="A8" s="152" t="s">
        <v>34</v>
      </c>
      <c r="B8" s="124">
        <v>36</v>
      </c>
      <c r="C8" s="159" t="s">
        <v>301</v>
      </c>
      <c r="D8" s="102"/>
    </row>
    <row r="9" spans="1:4" ht="13.5" customHeight="1">
      <c r="A9" s="152" t="s">
        <v>52</v>
      </c>
      <c r="B9" s="156">
        <f>B2*B8/1000</f>
        <v>594000</v>
      </c>
      <c r="C9" s="159" t="s">
        <v>44</v>
      </c>
      <c r="D9" s="102"/>
    </row>
    <row r="10" spans="1:5" ht="13.5" customHeight="1">
      <c r="A10" s="152" t="s">
        <v>306</v>
      </c>
      <c r="B10" s="125">
        <v>0.03</v>
      </c>
      <c r="C10" s="160" t="s">
        <v>301</v>
      </c>
      <c r="D10" s="102"/>
      <c r="E10" s="24"/>
    </row>
    <row r="11" spans="1:4" ht="13.5" customHeight="1">
      <c r="A11" s="152" t="s">
        <v>307</v>
      </c>
      <c r="B11" s="125">
        <v>0.01</v>
      </c>
      <c r="C11" s="160" t="s">
        <v>301</v>
      </c>
      <c r="D11" s="104"/>
    </row>
    <row r="12" spans="1:4" ht="13.5" customHeight="1">
      <c r="A12" s="153" t="s">
        <v>38</v>
      </c>
      <c r="B12" s="157"/>
      <c r="C12" s="159"/>
      <c r="D12" s="102"/>
    </row>
    <row r="13" spans="1:5" ht="13.5" customHeight="1">
      <c r="A13" s="152" t="s">
        <v>155</v>
      </c>
      <c r="B13" s="124">
        <v>100</v>
      </c>
      <c r="C13" s="160" t="s">
        <v>301</v>
      </c>
      <c r="D13" s="105"/>
      <c r="E13" s="25"/>
    </row>
    <row r="14" spans="1:4" ht="13.5" customHeight="1">
      <c r="A14" s="152" t="s">
        <v>35</v>
      </c>
      <c r="B14" s="124">
        <v>50</v>
      </c>
      <c r="C14" s="160" t="s">
        <v>301</v>
      </c>
      <c r="D14" s="105"/>
    </row>
    <row r="15" spans="1:4" ht="13.5" customHeight="1">
      <c r="A15" s="154" t="s">
        <v>156</v>
      </c>
      <c r="B15" s="126">
        <v>25</v>
      </c>
      <c r="C15" s="160" t="s">
        <v>301</v>
      </c>
      <c r="D15" s="102"/>
    </row>
    <row r="16" spans="1:4" ht="13.5" customHeight="1">
      <c r="A16" s="154" t="s">
        <v>308</v>
      </c>
      <c r="B16" s="126">
        <v>400</v>
      </c>
      <c r="C16" s="160" t="s">
        <v>301</v>
      </c>
      <c r="D16" s="102"/>
    </row>
    <row r="17" spans="1:4" ht="13.5" customHeight="1">
      <c r="A17" s="69" t="s">
        <v>276</v>
      </c>
      <c r="B17" s="109"/>
      <c r="C17" s="69" t="s">
        <v>277</v>
      </c>
      <c r="D17" s="102"/>
    </row>
    <row r="18" spans="1:4" ht="13.5" customHeight="1">
      <c r="A18" s="70" t="s">
        <v>77</v>
      </c>
      <c r="B18" s="109">
        <f>B16*B9/100000</f>
        <v>2376</v>
      </c>
      <c r="C18" s="70" t="s">
        <v>147</v>
      </c>
      <c r="D18" s="102"/>
    </row>
    <row r="19" spans="1:4" ht="13.5" customHeight="1">
      <c r="A19" s="71" t="s">
        <v>37</v>
      </c>
      <c r="B19" s="109">
        <f>B13*B$9/1000</f>
        <v>59400</v>
      </c>
      <c r="C19" s="70" t="s">
        <v>147</v>
      </c>
      <c r="D19" s="102"/>
    </row>
    <row r="20" spans="1:4" ht="13.5" customHeight="1">
      <c r="A20" s="71" t="s">
        <v>263</v>
      </c>
      <c r="B20" s="109">
        <f>B14*B$9/1000</f>
        <v>29700</v>
      </c>
      <c r="C20" s="70" t="s">
        <v>147</v>
      </c>
      <c r="D20" s="102"/>
    </row>
    <row r="21" spans="1:4" ht="13.5" customHeight="1">
      <c r="A21" s="70" t="s">
        <v>39</v>
      </c>
      <c r="B21" s="109">
        <f>B15*B$9/1000</f>
        <v>14850</v>
      </c>
      <c r="C21" s="70" t="s">
        <v>147</v>
      </c>
      <c r="D21" s="102"/>
    </row>
    <row r="22" spans="1:4" ht="13.5" customHeight="1">
      <c r="A22" s="70" t="s">
        <v>56</v>
      </c>
      <c r="B22" s="109">
        <f>B20-B21</f>
        <v>14850</v>
      </c>
      <c r="C22" s="70" t="s">
        <v>148</v>
      </c>
      <c r="D22" s="102"/>
    </row>
    <row r="23" spans="1:4" ht="27" customHeight="1">
      <c r="A23" s="70" t="s">
        <v>57</v>
      </c>
      <c r="B23" s="109">
        <f>(B22*6/11)*80%</f>
        <v>6480</v>
      </c>
      <c r="C23" s="72" t="s">
        <v>250</v>
      </c>
      <c r="D23" s="102"/>
    </row>
    <row r="24" spans="1:4" ht="13.5" customHeight="1">
      <c r="A24" s="70" t="s">
        <v>58</v>
      </c>
      <c r="B24" s="109">
        <f>B19-B20+B23</f>
        <v>36180</v>
      </c>
      <c r="C24" s="70" t="s">
        <v>149</v>
      </c>
      <c r="D24" s="102"/>
    </row>
    <row r="25" spans="1:15" s="8" customFormat="1" ht="13.5" customHeight="1">
      <c r="A25" s="161" t="s">
        <v>68</v>
      </c>
      <c r="B25" s="167"/>
      <c r="C25" s="163"/>
      <c r="D25" s="102"/>
      <c r="E25"/>
      <c r="F25"/>
      <c r="G25"/>
      <c r="H25"/>
      <c r="I25"/>
      <c r="J25"/>
      <c r="K25"/>
      <c r="L25"/>
      <c r="M25"/>
      <c r="N25"/>
      <c r="O25"/>
    </row>
    <row r="26" spans="1:15" s="8" customFormat="1" ht="13.5" customHeight="1">
      <c r="A26" s="162" t="s">
        <v>310</v>
      </c>
      <c r="B26" s="120">
        <v>0.3</v>
      </c>
      <c r="C26" s="164" t="s">
        <v>301</v>
      </c>
      <c r="D26" s="102"/>
      <c r="E26"/>
      <c r="F26"/>
      <c r="G26"/>
      <c r="H26"/>
      <c r="I26"/>
      <c r="J26"/>
      <c r="K26"/>
      <c r="L26"/>
      <c r="M26"/>
      <c r="N26"/>
      <c r="O26"/>
    </row>
    <row r="27" spans="1:15" s="8" customFormat="1" ht="13.5" customHeight="1">
      <c r="A27" s="162" t="s">
        <v>60</v>
      </c>
      <c r="B27" s="120">
        <v>0.3</v>
      </c>
      <c r="C27" s="165" t="s">
        <v>301</v>
      </c>
      <c r="D27" s="102"/>
      <c r="E27"/>
      <c r="F27"/>
      <c r="G27"/>
      <c r="H27"/>
      <c r="I27"/>
      <c r="J27"/>
      <c r="K27"/>
      <c r="L27"/>
      <c r="M27"/>
      <c r="N27"/>
      <c r="O27"/>
    </row>
    <row r="28" spans="1:15" s="8" customFormat="1" ht="13.5" customHeight="1">
      <c r="A28" s="142" t="s">
        <v>62</v>
      </c>
      <c r="B28" s="121">
        <f>B46</f>
        <v>0.37937384898710863</v>
      </c>
      <c r="C28" s="165" t="s">
        <v>309</v>
      </c>
      <c r="D28" s="102"/>
      <c r="E28"/>
      <c r="F28"/>
      <c r="G28"/>
      <c r="H28"/>
      <c r="I28"/>
      <c r="J28"/>
      <c r="K28"/>
      <c r="L28"/>
      <c r="M28"/>
      <c r="N28"/>
      <c r="O28"/>
    </row>
    <row r="29" spans="1:15" s="8" customFormat="1" ht="13.5" customHeight="1">
      <c r="A29" s="142" t="s">
        <v>69</v>
      </c>
      <c r="B29" s="166">
        <f>B27*B28</f>
        <v>0.11381215469613258</v>
      </c>
      <c r="C29" s="165" t="s">
        <v>44</v>
      </c>
      <c r="D29" s="102"/>
      <c r="E29"/>
      <c r="F29"/>
      <c r="G29"/>
      <c r="H29"/>
      <c r="I29"/>
      <c r="J29"/>
      <c r="K29"/>
      <c r="L29"/>
      <c r="M29"/>
      <c r="N29"/>
      <c r="O29"/>
    </row>
    <row r="30" spans="1:15" s="8" customFormat="1" ht="13.5" customHeight="1">
      <c r="A30" s="162" t="s">
        <v>61</v>
      </c>
      <c r="B30" s="120">
        <v>0.5</v>
      </c>
      <c r="C30" s="165" t="s">
        <v>301</v>
      </c>
      <c r="D30" s="102"/>
      <c r="E30"/>
      <c r="F30"/>
      <c r="G30"/>
      <c r="H30"/>
      <c r="I30"/>
      <c r="J30"/>
      <c r="K30"/>
      <c r="L30"/>
      <c r="M30"/>
      <c r="N30"/>
      <c r="O30"/>
    </row>
    <row r="31" spans="1:15" s="8" customFormat="1" ht="13.5" customHeight="1">
      <c r="A31" s="142" t="s">
        <v>72</v>
      </c>
      <c r="B31" s="121">
        <f>B43</f>
        <v>0.48033707865168546</v>
      </c>
      <c r="C31" s="165" t="s">
        <v>309</v>
      </c>
      <c r="D31" s="102"/>
      <c r="E31"/>
      <c r="F31"/>
      <c r="G31"/>
      <c r="H31"/>
      <c r="I31"/>
      <c r="J31"/>
      <c r="K31"/>
      <c r="L31"/>
      <c r="M31"/>
      <c r="N31"/>
      <c r="O31"/>
    </row>
    <row r="32" spans="1:15" s="8" customFormat="1" ht="13.5" customHeight="1">
      <c r="A32" s="142" t="s">
        <v>65</v>
      </c>
      <c r="B32" s="168">
        <f>B30*B31</f>
        <v>0.24016853932584273</v>
      </c>
      <c r="C32" s="165" t="s">
        <v>44</v>
      </c>
      <c r="D32" s="102"/>
      <c r="E32"/>
      <c r="F32"/>
      <c r="G32"/>
      <c r="H32"/>
      <c r="I32"/>
      <c r="J32"/>
      <c r="K32"/>
      <c r="L32"/>
      <c r="M32"/>
      <c r="N32"/>
      <c r="O32"/>
    </row>
    <row r="33" spans="1:15" s="8" customFormat="1" ht="13.5" customHeight="1">
      <c r="A33" s="162" t="s">
        <v>63</v>
      </c>
      <c r="B33" s="120">
        <v>0.3</v>
      </c>
      <c r="C33" s="165" t="s">
        <v>301</v>
      </c>
      <c r="D33" s="103"/>
      <c r="E33"/>
      <c r="F33"/>
      <c r="G33"/>
      <c r="H33"/>
      <c r="I33"/>
      <c r="J33"/>
      <c r="K33"/>
      <c r="L33"/>
      <c r="M33"/>
      <c r="N33"/>
      <c r="O33"/>
    </row>
    <row r="34" spans="1:15" s="8" customFormat="1" ht="13.5" customHeight="1">
      <c r="A34" s="142" t="s">
        <v>73</v>
      </c>
      <c r="B34" s="121">
        <f>(B43+B28)/2</f>
        <v>0.42985546381939704</v>
      </c>
      <c r="C34" s="165" t="s">
        <v>311</v>
      </c>
      <c r="D34" s="102"/>
      <c r="E34"/>
      <c r="F34"/>
      <c r="G34"/>
      <c r="H34"/>
      <c r="I34"/>
      <c r="J34"/>
      <c r="K34"/>
      <c r="L34"/>
      <c r="M34"/>
      <c r="N34"/>
      <c r="O34"/>
    </row>
    <row r="35" spans="1:15" s="8" customFormat="1" ht="13.5" customHeight="1">
      <c r="A35" s="142" t="s">
        <v>66</v>
      </c>
      <c r="B35" s="166">
        <f>B33*B34</f>
        <v>0.12895663914581912</v>
      </c>
      <c r="C35" s="165" t="s">
        <v>44</v>
      </c>
      <c r="D35" s="102"/>
      <c r="E35"/>
      <c r="F35"/>
      <c r="G35"/>
      <c r="H35"/>
      <c r="I35"/>
      <c r="J35"/>
      <c r="K35"/>
      <c r="L35"/>
      <c r="M35"/>
      <c r="N35"/>
      <c r="O35"/>
    </row>
    <row r="36" spans="1:15" s="62" customFormat="1" ht="13.5" customHeight="1">
      <c r="A36" s="162" t="s">
        <v>64</v>
      </c>
      <c r="B36" s="128">
        <f>B33/4</f>
        <v>0.075</v>
      </c>
      <c r="C36" s="165" t="s">
        <v>408</v>
      </c>
      <c r="D36" s="106"/>
      <c r="E36" s="1"/>
      <c r="F36" s="1"/>
      <c r="G36" s="1"/>
      <c r="H36" s="1"/>
      <c r="I36" s="1"/>
      <c r="J36" s="1"/>
      <c r="K36" s="1"/>
      <c r="L36" s="1"/>
      <c r="M36" s="1"/>
      <c r="N36" s="1"/>
      <c r="O36" s="1"/>
    </row>
    <row r="37" spans="1:15" s="8" customFormat="1" ht="13.5" customHeight="1">
      <c r="A37" s="142" t="s">
        <v>74</v>
      </c>
      <c r="B37" s="129">
        <f>B34</f>
        <v>0.42985546381939704</v>
      </c>
      <c r="C37" s="165" t="s">
        <v>309</v>
      </c>
      <c r="D37" s="102"/>
      <c r="E37"/>
      <c r="F37"/>
      <c r="G37"/>
      <c r="H37"/>
      <c r="I37"/>
      <c r="J37"/>
      <c r="K37"/>
      <c r="L37"/>
      <c r="M37"/>
      <c r="N37"/>
      <c r="O37"/>
    </row>
    <row r="38" spans="1:15" s="8" customFormat="1" ht="13.5" customHeight="1">
      <c r="A38" s="142" t="s">
        <v>67</v>
      </c>
      <c r="B38" s="168">
        <f>B37*B36</f>
        <v>0.03223915978645478</v>
      </c>
      <c r="C38" s="165" t="s">
        <v>44</v>
      </c>
      <c r="D38" s="102"/>
      <c r="E38"/>
      <c r="F38"/>
      <c r="G38"/>
      <c r="H38"/>
      <c r="I38"/>
      <c r="J38"/>
      <c r="K38"/>
      <c r="L38"/>
      <c r="M38"/>
      <c r="N38"/>
      <c r="O38"/>
    </row>
    <row r="39" spans="2:4" ht="14.25" customHeight="1">
      <c r="B39" s="111"/>
      <c r="D39" s="102"/>
    </row>
    <row r="40" spans="1:15" s="8" customFormat="1" ht="12">
      <c r="A40" s="94" t="s">
        <v>262</v>
      </c>
      <c r="B40" s="110"/>
      <c r="C40" s="76"/>
      <c r="D40" s="102"/>
      <c r="E40"/>
      <c r="F40"/>
      <c r="G40"/>
      <c r="H40"/>
      <c r="I40"/>
      <c r="J40"/>
      <c r="K40"/>
      <c r="L40"/>
      <c r="M40"/>
      <c r="N40"/>
      <c r="O40"/>
    </row>
    <row r="41" spans="1:15" s="8" customFormat="1" ht="12">
      <c r="A41" s="95" t="s">
        <v>260</v>
      </c>
      <c r="B41" s="112">
        <v>0.356</v>
      </c>
      <c r="C41" s="96"/>
      <c r="D41" s="102"/>
      <c r="E41"/>
      <c r="F41"/>
      <c r="G41"/>
      <c r="H41"/>
      <c r="I41"/>
      <c r="J41"/>
      <c r="K41"/>
      <c r="L41"/>
      <c r="M41"/>
      <c r="N41"/>
      <c r="O41"/>
    </row>
    <row r="42" spans="1:15" s="8" customFormat="1" ht="12">
      <c r="A42" s="95" t="s">
        <v>261</v>
      </c>
      <c r="B42" s="112">
        <v>0.171</v>
      </c>
      <c r="C42" s="96"/>
      <c r="D42" s="102"/>
      <c r="E42"/>
      <c r="F42"/>
      <c r="G42"/>
      <c r="H42"/>
      <c r="I42"/>
      <c r="J42"/>
      <c r="K42"/>
      <c r="L42"/>
      <c r="M42"/>
      <c r="N42"/>
      <c r="O42"/>
    </row>
    <row r="43" spans="1:15" s="8" customFormat="1" ht="12">
      <c r="A43" s="94" t="s">
        <v>259</v>
      </c>
      <c r="B43" s="304">
        <f>B42/B41</f>
        <v>0.48033707865168546</v>
      </c>
      <c r="C43" s="96" t="s">
        <v>409</v>
      </c>
      <c r="D43" s="102"/>
      <c r="E43"/>
      <c r="F43"/>
      <c r="G43"/>
      <c r="H43"/>
      <c r="I43"/>
      <c r="J43"/>
      <c r="K43"/>
      <c r="L43"/>
      <c r="M43"/>
      <c r="N43"/>
      <c r="O43"/>
    </row>
    <row r="44" spans="1:15" s="46" customFormat="1" ht="12">
      <c r="A44" s="95" t="s">
        <v>271</v>
      </c>
      <c r="B44" s="112">
        <v>0.543</v>
      </c>
      <c r="C44" s="96"/>
      <c r="D44" s="107"/>
      <c r="F44" s="44"/>
      <c r="G44" s="44"/>
      <c r="H44" s="44"/>
      <c r="I44" s="44"/>
      <c r="J44" s="44"/>
      <c r="K44" s="44"/>
      <c r="L44" s="44"/>
      <c r="M44" s="44"/>
      <c r="N44" s="44"/>
      <c r="O44" s="44"/>
    </row>
    <row r="45" spans="1:15" s="8" customFormat="1" ht="12">
      <c r="A45" s="95" t="s">
        <v>226</v>
      </c>
      <c r="B45" s="112">
        <v>0.206</v>
      </c>
      <c r="C45" s="96"/>
      <c r="D45" s="108"/>
      <c r="F45"/>
      <c r="G45"/>
      <c r="H45"/>
      <c r="I45"/>
      <c r="J45"/>
      <c r="K45"/>
      <c r="L45"/>
      <c r="M45"/>
      <c r="N45"/>
      <c r="O45"/>
    </row>
    <row r="46" spans="1:15" s="8" customFormat="1" ht="12">
      <c r="A46" s="94" t="s">
        <v>227</v>
      </c>
      <c r="B46" s="304">
        <f>B45/B44</f>
        <v>0.37937384898710863</v>
      </c>
      <c r="C46" s="95" t="s">
        <v>410</v>
      </c>
      <c r="D46" s="108"/>
      <c r="F46"/>
      <c r="G46"/>
      <c r="H46"/>
      <c r="I46"/>
      <c r="J46"/>
      <c r="K46"/>
      <c r="L46"/>
      <c r="M46"/>
      <c r="N46"/>
      <c r="O46"/>
    </row>
    <row r="47" spans="2:15" s="8" customFormat="1" ht="13.5" customHeight="1">
      <c r="B47" s="54"/>
      <c r="G47"/>
      <c r="H47"/>
      <c r="I47"/>
      <c r="J47"/>
      <c r="K47"/>
      <c r="L47"/>
      <c r="M47"/>
      <c r="N47"/>
      <c r="O47"/>
    </row>
    <row r="48" spans="2:15" s="8" customFormat="1" ht="13.5" customHeight="1">
      <c r="B48" s="54"/>
      <c r="F48"/>
      <c r="G48"/>
      <c r="H48"/>
      <c r="I48"/>
      <c r="J48"/>
      <c r="K48"/>
      <c r="L48"/>
      <c r="M48"/>
      <c r="N48"/>
      <c r="O48"/>
    </row>
    <row r="49" spans="2:15" s="8" customFormat="1" ht="13.5" customHeight="1">
      <c r="B49" s="54"/>
      <c r="F49"/>
      <c r="G49"/>
      <c r="H49"/>
      <c r="I49"/>
      <c r="J49"/>
      <c r="K49"/>
      <c r="L49"/>
      <c r="M49"/>
      <c r="N49"/>
      <c r="O49"/>
    </row>
    <row r="50" spans="2:15" s="8" customFormat="1" ht="13.5" customHeight="1">
      <c r="B50" s="54"/>
      <c r="D50"/>
      <c r="E50"/>
      <c r="F50"/>
      <c r="G50"/>
      <c r="H50"/>
      <c r="I50"/>
      <c r="J50"/>
      <c r="K50"/>
      <c r="L50"/>
      <c r="M50"/>
      <c r="N50"/>
      <c r="O50"/>
    </row>
    <row r="51" spans="2:15" s="8" customFormat="1" ht="13.5" customHeight="1">
      <c r="B51" s="54"/>
      <c r="D51"/>
      <c r="E51"/>
      <c r="F51"/>
      <c r="G51"/>
      <c r="H51"/>
      <c r="I51"/>
      <c r="J51"/>
      <c r="K51"/>
      <c r="L51"/>
      <c r="M51"/>
      <c r="N51"/>
      <c r="O51"/>
    </row>
    <row r="52" spans="2:15" s="8" customFormat="1" ht="13.5" customHeight="1">
      <c r="B52" s="54"/>
      <c r="D52"/>
      <c r="E52"/>
      <c r="F52"/>
      <c r="G52"/>
      <c r="H52"/>
      <c r="I52"/>
      <c r="J52"/>
      <c r="K52"/>
      <c r="L52"/>
      <c r="M52"/>
      <c r="N52"/>
      <c r="O52"/>
    </row>
    <row r="53" spans="4:15" s="8" customFormat="1" ht="13.5" customHeight="1">
      <c r="D53"/>
      <c r="E53"/>
      <c r="F53"/>
      <c r="G53"/>
      <c r="H53"/>
      <c r="I53"/>
      <c r="J53"/>
      <c r="K53"/>
      <c r="L53"/>
      <c r="M53"/>
      <c r="N53"/>
      <c r="O53"/>
    </row>
    <row r="54" spans="4:15" s="8" customFormat="1" ht="13.5" customHeight="1">
      <c r="D54"/>
      <c r="E54"/>
      <c r="F54"/>
      <c r="G54"/>
      <c r="H54"/>
      <c r="I54"/>
      <c r="J54"/>
      <c r="K54"/>
      <c r="L54"/>
      <c r="M54"/>
      <c r="N54"/>
      <c r="O54"/>
    </row>
    <row r="55" spans="4:15" s="8" customFormat="1" ht="13.5" customHeight="1">
      <c r="D55"/>
      <c r="E55"/>
      <c r="F55"/>
      <c r="G55"/>
      <c r="H55"/>
      <c r="I55"/>
      <c r="J55"/>
      <c r="K55"/>
      <c r="L55"/>
      <c r="M55"/>
      <c r="N55"/>
      <c r="O55"/>
    </row>
    <row r="56" spans="4:15" s="8" customFormat="1" ht="13.5" customHeight="1">
      <c r="D56"/>
      <c r="E56"/>
      <c r="F56"/>
      <c r="G56"/>
      <c r="H56"/>
      <c r="I56"/>
      <c r="J56"/>
      <c r="K56"/>
      <c r="L56"/>
      <c r="M56"/>
      <c r="N56"/>
      <c r="O56"/>
    </row>
    <row r="57" spans="4:15" s="8" customFormat="1" ht="13.5" customHeight="1">
      <c r="D57"/>
      <c r="E57"/>
      <c r="F57"/>
      <c r="G57"/>
      <c r="H57"/>
      <c r="I57"/>
      <c r="J57"/>
      <c r="K57"/>
      <c r="L57"/>
      <c r="M57"/>
      <c r="N57"/>
      <c r="O57"/>
    </row>
    <row r="58" spans="4:15" s="8" customFormat="1" ht="13.5" customHeight="1">
      <c r="D58"/>
      <c r="E58"/>
      <c r="F58"/>
      <c r="G58"/>
      <c r="H58"/>
      <c r="I58"/>
      <c r="J58"/>
      <c r="K58"/>
      <c r="L58"/>
      <c r="M58"/>
      <c r="N58"/>
      <c r="O58"/>
    </row>
    <row r="59" spans="4:15" s="8" customFormat="1" ht="13.5" customHeight="1">
      <c r="D59"/>
      <c r="E59"/>
      <c r="F59"/>
      <c r="G59"/>
      <c r="H59"/>
      <c r="I59"/>
      <c r="J59"/>
      <c r="K59"/>
      <c r="L59"/>
      <c r="M59"/>
      <c r="N59"/>
      <c r="O59"/>
    </row>
    <row r="60" spans="4:15" s="8" customFormat="1" ht="13.5" customHeight="1">
      <c r="D60"/>
      <c r="E60"/>
      <c r="F60"/>
      <c r="G60"/>
      <c r="H60"/>
      <c r="I60"/>
      <c r="J60"/>
      <c r="K60"/>
      <c r="L60"/>
      <c r="M60"/>
      <c r="N60"/>
      <c r="O60"/>
    </row>
    <row r="61" spans="4:15" s="8" customFormat="1" ht="13.5" customHeight="1">
      <c r="D61"/>
      <c r="E61"/>
      <c r="F61"/>
      <c r="G61"/>
      <c r="H61"/>
      <c r="I61"/>
      <c r="J61"/>
      <c r="K61"/>
      <c r="L61"/>
      <c r="M61"/>
      <c r="N61"/>
      <c r="O61"/>
    </row>
    <row r="62" spans="4:15" s="8" customFormat="1" ht="13.5" customHeight="1">
      <c r="D62"/>
      <c r="E62"/>
      <c r="F62"/>
      <c r="G62"/>
      <c r="H62"/>
      <c r="I62"/>
      <c r="J62"/>
      <c r="K62"/>
      <c r="L62"/>
      <c r="M62"/>
      <c r="N62"/>
      <c r="O62"/>
    </row>
    <row r="63" spans="4:15" s="8" customFormat="1" ht="13.5" customHeight="1">
      <c r="D63"/>
      <c r="E63"/>
      <c r="F63"/>
      <c r="G63"/>
      <c r="H63"/>
      <c r="I63"/>
      <c r="J63"/>
      <c r="K63"/>
      <c r="L63"/>
      <c r="M63"/>
      <c r="N63"/>
      <c r="O63"/>
    </row>
    <row r="64" spans="4:15" s="8" customFormat="1" ht="13.5" customHeight="1">
      <c r="D64"/>
      <c r="E64"/>
      <c r="F64"/>
      <c r="G64"/>
      <c r="H64"/>
      <c r="I64"/>
      <c r="J64"/>
      <c r="K64"/>
      <c r="L64"/>
      <c r="M64"/>
      <c r="N64"/>
      <c r="O64"/>
    </row>
    <row r="65" spans="4:15" s="8" customFormat="1" ht="13.5" customHeight="1">
      <c r="D65"/>
      <c r="E65"/>
      <c r="F65"/>
      <c r="G65"/>
      <c r="H65"/>
      <c r="I65"/>
      <c r="J65"/>
      <c r="K65"/>
      <c r="L65"/>
      <c r="M65"/>
      <c r="N65"/>
      <c r="O65"/>
    </row>
    <row r="66" spans="1:3" ht="13.5" customHeight="1">
      <c r="A66" s="8"/>
      <c r="B66" s="8"/>
      <c r="C66" s="8"/>
    </row>
  </sheetData>
  <sheetProtection/>
  <printOptions/>
  <pageMargins left="0.75" right="0.75" top="1" bottom="1" header="0.5" footer="0.5"/>
  <pageSetup horizontalDpi="600" verticalDpi="600" orientation="portrait"/>
</worksheet>
</file>

<file path=xl/worksheets/sheet2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8515625" defaultRowHeight="12.75"/>
  <sheetData/>
  <sheetProtection/>
  <printOptions/>
  <pageMargins left="0.7" right="0.7" top="0.75" bottom="0.75" header="0.3" footer="0.3"/>
  <pageSetup orientation="portrait"/>
</worksheet>
</file>

<file path=xl/worksheets/sheet21.xml><?xml version="1.0" encoding="utf-8"?>
<worksheet xmlns="http://schemas.openxmlformats.org/spreadsheetml/2006/main" xmlns:r="http://schemas.openxmlformats.org/officeDocument/2006/relationships">
  <dimension ref="F11:I14"/>
  <sheetViews>
    <sheetView workbookViewId="0" topLeftCell="A1">
      <selection activeCell="M8" sqref="M8"/>
    </sheetView>
  </sheetViews>
  <sheetFormatPr defaultColWidth="8.8515625" defaultRowHeight="12.75"/>
  <sheetData>
    <row r="11" spans="6:9" ht="12">
      <c r="F11" s="48"/>
      <c r="G11" s="48"/>
      <c r="H11" s="48"/>
      <c r="I11" s="48"/>
    </row>
    <row r="12" spans="6:9" ht="13.5">
      <c r="F12" s="51"/>
      <c r="G12" s="52"/>
      <c r="H12" s="49"/>
      <c r="I12" s="49"/>
    </row>
    <row r="13" spans="6:9" ht="13.5">
      <c r="F13" s="53"/>
      <c r="G13" s="52"/>
      <c r="H13" s="49"/>
      <c r="I13" s="50"/>
    </row>
    <row r="14" spans="6:9" ht="12">
      <c r="F14" s="48"/>
      <c r="G14" s="50"/>
      <c r="H14" s="50"/>
      <c r="I14" s="50"/>
    </row>
  </sheetData>
  <sheetProtection/>
  <printOptions/>
  <pageMargins left="0.7" right="0.7" top="0.75" bottom="0.75" header="0.3" footer="0.3"/>
  <pageSetup orientation="portrait"/>
</worksheet>
</file>

<file path=xl/worksheets/sheet3.xml><?xml version="1.0" encoding="utf-8"?>
<worksheet xmlns="http://schemas.openxmlformats.org/spreadsheetml/2006/main" xmlns:r="http://schemas.openxmlformats.org/officeDocument/2006/relationships">
  <sheetPr>
    <tabColor rgb="FFC00000"/>
  </sheetPr>
  <dimension ref="A1:C24"/>
  <sheetViews>
    <sheetView workbookViewId="0" topLeftCell="A1">
      <selection activeCell="C14" sqref="C14"/>
    </sheetView>
  </sheetViews>
  <sheetFormatPr defaultColWidth="8.8515625" defaultRowHeight="12.75"/>
  <cols>
    <col min="1" max="1" width="51.421875" style="0" bestFit="1" customWidth="1"/>
    <col min="2" max="2" width="13.140625" style="0" bestFit="1" customWidth="1"/>
    <col min="3" max="3" width="57.8515625" style="0" bestFit="1" customWidth="1"/>
    <col min="4" max="4" width="2.7109375" style="0" customWidth="1"/>
  </cols>
  <sheetData>
    <row r="1" spans="1:3" ht="13.5">
      <c r="A1" s="170" t="s">
        <v>59</v>
      </c>
      <c r="B1" s="175"/>
      <c r="C1" s="170" t="s">
        <v>41</v>
      </c>
    </row>
    <row r="2" spans="1:3" ht="13.5">
      <c r="A2" s="175" t="s">
        <v>312</v>
      </c>
      <c r="B2" s="35">
        <f>'Demo &amp; Health'!B24</f>
        <v>36180</v>
      </c>
      <c r="C2" s="175" t="s">
        <v>352</v>
      </c>
    </row>
    <row r="3" spans="1:3" ht="13.5">
      <c r="A3" s="176" t="s">
        <v>314</v>
      </c>
      <c r="B3" s="36">
        <f>'Demo &amp; Health'!B26</f>
        <v>0.3</v>
      </c>
      <c r="C3" s="175" t="s">
        <v>352</v>
      </c>
    </row>
    <row r="4" spans="1:3" ht="13.5">
      <c r="A4" s="170" t="s">
        <v>51</v>
      </c>
      <c r="B4" s="178"/>
      <c r="C4" s="175"/>
    </row>
    <row r="5" spans="1:3" ht="13.5">
      <c r="A5" s="176" t="s">
        <v>315</v>
      </c>
      <c r="B5" s="305">
        <f>1/0.76</f>
        <v>1.3157894736842106</v>
      </c>
      <c r="C5" s="177" t="s">
        <v>190</v>
      </c>
    </row>
    <row r="6" spans="1:3" ht="13.5">
      <c r="A6" s="176" t="s">
        <v>313</v>
      </c>
      <c r="B6" s="179">
        <f>(B3*(B5-1))/(1+(B3*(B5-1)))</f>
        <v>0.08653846153846156</v>
      </c>
      <c r="C6" s="175" t="s">
        <v>44</v>
      </c>
    </row>
    <row r="7" spans="1:3" ht="13.5">
      <c r="A7" s="176" t="s">
        <v>316</v>
      </c>
      <c r="B7" s="180">
        <f>B2*B6</f>
        <v>3130.9615384615395</v>
      </c>
      <c r="C7" s="175" t="s">
        <v>44</v>
      </c>
    </row>
    <row r="8" spans="1:3" ht="13.5">
      <c r="A8" s="169" t="s">
        <v>49</v>
      </c>
      <c r="B8" s="180"/>
      <c r="C8" s="175"/>
    </row>
    <row r="9" spans="1:3" ht="13.5">
      <c r="A9" s="176" t="s">
        <v>317</v>
      </c>
      <c r="B9" s="37">
        <f>Econ!B19</f>
        <v>1764.705882352941</v>
      </c>
      <c r="C9" s="175" t="s">
        <v>352</v>
      </c>
    </row>
    <row r="10" spans="1:3" ht="13.5">
      <c r="A10" s="176" t="s">
        <v>181</v>
      </c>
      <c r="B10" s="38">
        <f>Econ!B2</f>
        <v>0.85</v>
      </c>
      <c r="C10" s="175" t="s">
        <v>352</v>
      </c>
    </row>
    <row r="11" spans="1:3" ht="13.5">
      <c r="A11" s="176" t="s">
        <v>393</v>
      </c>
      <c r="B11" s="181">
        <f>B7*B10*(PV(Econ!B23,Econ!B15,-B9)-PV(Econ!B23,13,-B9))</f>
        <v>50967035.25683246</v>
      </c>
      <c r="C11" s="175" t="s">
        <v>392</v>
      </c>
    </row>
    <row r="13" spans="1:3" ht="13.5">
      <c r="A13" s="169" t="s">
        <v>233</v>
      </c>
      <c r="B13" s="170"/>
      <c r="C13" s="170" t="s">
        <v>251</v>
      </c>
    </row>
    <row r="14" spans="1:3" ht="13.5">
      <c r="A14" s="171">
        <v>2014</v>
      </c>
      <c r="B14" s="172">
        <f>B11</f>
        <v>50967035.25683246</v>
      </c>
      <c r="C14" s="173">
        <f>B7</f>
        <v>3130.9615384615395</v>
      </c>
    </row>
    <row r="15" spans="1:3" ht="13.5">
      <c r="A15" s="171">
        <v>2015</v>
      </c>
      <c r="B15" s="172">
        <f>B14*(1+'Demo &amp; Health'!B$11)</f>
        <v>51476705.60940079</v>
      </c>
      <c r="C15" s="174">
        <f>C14*(1+'Demo &amp; Health'!B$11)</f>
        <v>3162.271153846155</v>
      </c>
    </row>
    <row r="16" spans="1:3" ht="13.5">
      <c r="A16" s="171">
        <v>2016</v>
      </c>
      <c r="B16" s="172">
        <f>B15*(1+'Demo &amp; Health'!B$11)</f>
        <v>51991472.66549479</v>
      </c>
      <c r="C16" s="174">
        <f>C15*(1+'Demo &amp; Health'!B$11)</f>
        <v>3193.8938653846167</v>
      </c>
    </row>
    <row r="17" spans="1:3" ht="13.5">
      <c r="A17" s="171">
        <v>2017</v>
      </c>
      <c r="B17" s="172">
        <f>B16*(1+'Demo &amp; Health'!B$11)</f>
        <v>52511387.39214974</v>
      </c>
      <c r="C17" s="174">
        <f>C16*(1+'Demo &amp; Health'!B$11)</f>
        <v>3225.8328040384627</v>
      </c>
    </row>
    <row r="18" spans="1:3" ht="13.5">
      <c r="A18" s="171">
        <v>2018</v>
      </c>
      <c r="B18" s="172">
        <f>B17*(1+'Demo &amp; Health'!B$11)</f>
        <v>53036501.26607124</v>
      </c>
      <c r="C18" s="174">
        <f>C17*(1+'Demo &amp; Health'!B$11)</f>
        <v>3258.0911320788473</v>
      </c>
    </row>
    <row r="19" spans="1:3" ht="13.5">
      <c r="A19" s="171">
        <v>2019</v>
      </c>
      <c r="B19" s="172">
        <f>B18*(1+'Demo &amp; Health'!B$11)</f>
        <v>53566866.27873195</v>
      </c>
      <c r="C19" s="174">
        <f>C18*(1+'Demo &amp; Health'!B$11)</f>
        <v>3290.6720433996356</v>
      </c>
    </row>
    <row r="20" spans="1:3" ht="13.5">
      <c r="A20" s="171">
        <v>2020</v>
      </c>
      <c r="B20" s="172">
        <f>B19*(1+'Demo &amp; Health'!B$11)</f>
        <v>54102534.94151927</v>
      </c>
      <c r="C20" s="174">
        <f>C19*(1+'Demo &amp; Health'!B$11)</f>
        <v>3323.578763833632</v>
      </c>
    </row>
    <row r="21" spans="1:3" ht="13.5">
      <c r="A21" s="171">
        <v>2021</v>
      </c>
      <c r="B21" s="172">
        <f>B20*(1+'Demo &amp; Health'!B$11)</f>
        <v>54643560.29093446</v>
      </c>
      <c r="C21" s="174">
        <f>C20*(1+'Demo &amp; Health'!B$11)</f>
        <v>3356.814551471968</v>
      </c>
    </row>
    <row r="22" spans="1:3" ht="13.5">
      <c r="A22" s="171">
        <v>2022</v>
      </c>
      <c r="B22" s="172">
        <f>B21*(1+'Demo &amp; Health'!B$11)</f>
        <v>55189995.8938438</v>
      </c>
      <c r="C22" s="174">
        <f>C21*(1+'Demo &amp; Health'!B$11)</f>
        <v>3390.3826969866877</v>
      </c>
    </row>
    <row r="23" spans="1:3" ht="13.5">
      <c r="A23" s="171">
        <v>2023</v>
      </c>
      <c r="B23" s="172">
        <f>B22*(1+'Demo &amp; Health'!B$11)</f>
        <v>55741895.85278224</v>
      </c>
      <c r="C23" s="174">
        <f>C22*(1+'Demo &amp; Health'!B$11)</f>
        <v>3424.2865239565544</v>
      </c>
    </row>
    <row r="24" spans="1:3" ht="13.5">
      <c r="A24" s="175"/>
      <c r="B24" s="172">
        <f>SUM(B14:B23)</f>
        <v>533227955.4477607</v>
      </c>
      <c r="C24" s="173">
        <f>SUM(C14:C23)</f>
        <v>32756.785073458097</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rgb="FFC00000"/>
  </sheetPr>
  <dimension ref="A1:C26"/>
  <sheetViews>
    <sheetView zoomScale="98" zoomScaleNormal="98" workbookViewId="0" topLeftCell="A1">
      <selection activeCell="D29" sqref="D29"/>
    </sheetView>
  </sheetViews>
  <sheetFormatPr defaultColWidth="8.8515625" defaultRowHeight="12.75"/>
  <cols>
    <col min="1" max="1" width="52.140625" style="2" customWidth="1"/>
    <col min="2" max="2" width="12.8515625" style="0" bestFit="1" customWidth="1"/>
    <col min="3" max="3" width="38.8515625" style="0" bestFit="1" customWidth="1"/>
    <col min="4" max="4" width="7.421875" style="0" customWidth="1"/>
    <col min="5" max="5" width="7.8515625" style="0" customWidth="1"/>
    <col min="6" max="6" width="7.140625" style="0" customWidth="1"/>
    <col min="7" max="7" width="6.7109375" style="0" customWidth="1"/>
    <col min="8" max="8" width="6.8515625" style="0" customWidth="1"/>
    <col min="9" max="9" width="5.421875" style="0" customWidth="1"/>
  </cols>
  <sheetData>
    <row r="1" spans="1:3" ht="13.5">
      <c r="A1" s="170" t="s">
        <v>71</v>
      </c>
      <c r="B1" s="175"/>
      <c r="C1" s="183" t="s">
        <v>41</v>
      </c>
    </row>
    <row r="2" spans="1:3" ht="13.5">
      <c r="A2" s="175" t="s">
        <v>318</v>
      </c>
      <c r="B2" s="35">
        <f>'Demo &amp; Health'!B21</f>
        <v>14850</v>
      </c>
      <c r="C2" s="184" t="s">
        <v>352</v>
      </c>
    </row>
    <row r="3" spans="1:3" ht="13.5">
      <c r="A3" s="176" t="s">
        <v>70</v>
      </c>
      <c r="B3" s="36">
        <f>'Demo &amp; Health'!B32</f>
        <v>0.24016853932584273</v>
      </c>
      <c r="C3" s="184" t="s">
        <v>352</v>
      </c>
    </row>
    <row r="4" spans="1:3" ht="13.5">
      <c r="A4" s="170" t="s">
        <v>51</v>
      </c>
      <c r="B4" s="178"/>
      <c r="C4" s="185"/>
    </row>
    <row r="5" spans="1:3" ht="13.5">
      <c r="A5" s="176" t="s">
        <v>319</v>
      </c>
      <c r="B5" s="305">
        <f>1/0.69</f>
        <v>1.4492753623188408</v>
      </c>
      <c r="C5" s="185" t="s">
        <v>75</v>
      </c>
    </row>
    <row r="6" spans="1:3" ht="13.5">
      <c r="A6" s="176" t="s">
        <v>313</v>
      </c>
      <c r="B6" s="179">
        <f>(B3*(B5-1))/(1+(B3*(B5-1)))</f>
        <v>0.09739293391390624</v>
      </c>
      <c r="C6" s="185" t="s">
        <v>44</v>
      </c>
    </row>
    <row r="7" spans="1:3" ht="13.5">
      <c r="A7" s="169" t="s">
        <v>320</v>
      </c>
      <c r="B7" s="180">
        <f>B2*B6</f>
        <v>1446.2850686215077</v>
      </c>
      <c r="C7" s="185" t="s">
        <v>44</v>
      </c>
    </row>
    <row r="8" spans="1:3" ht="13.5">
      <c r="A8" s="169" t="s">
        <v>49</v>
      </c>
      <c r="B8" s="180"/>
      <c r="C8" s="185"/>
    </row>
    <row r="9" spans="1:3" ht="13.5">
      <c r="A9" s="176" t="s">
        <v>317</v>
      </c>
      <c r="B9" s="37">
        <f>Econ!B19</f>
        <v>1764.705882352941</v>
      </c>
      <c r="C9" s="184" t="s">
        <v>352</v>
      </c>
    </row>
    <row r="10" spans="1:3" ht="13.5">
      <c r="A10" s="176" t="s">
        <v>181</v>
      </c>
      <c r="B10" s="39">
        <f>Econ!B2</f>
        <v>0.85</v>
      </c>
      <c r="C10" s="184" t="s">
        <v>352</v>
      </c>
    </row>
    <row r="11" spans="1:3" ht="13.5">
      <c r="A11" s="182" t="s">
        <v>385</v>
      </c>
      <c r="B11" s="186">
        <f>B7*B10*(PV(Econ!B23,Econ!B15,-B9)-PV(Econ!B23,15,-B9))</f>
        <v>20716482.43749741</v>
      </c>
      <c r="C11" s="185" t="s">
        <v>411</v>
      </c>
    </row>
    <row r="13" spans="1:3" ht="13.5">
      <c r="A13" s="169" t="s">
        <v>153</v>
      </c>
      <c r="B13" s="170"/>
      <c r="C13" s="170" t="s">
        <v>251</v>
      </c>
    </row>
    <row r="14" spans="1:3" ht="13.5">
      <c r="A14" s="171">
        <v>2014</v>
      </c>
      <c r="B14" s="172">
        <f>B11</f>
        <v>20716482.43749741</v>
      </c>
      <c r="C14" s="178">
        <f>B7</f>
        <v>1446.2850686215077</v>
      </c>
    </row>
    <row r="15" spans="1:3" ht="13.5">
      <c r="A15" s="171">
        <v>2015</v>
      </c>
      <c r="B15" s="172">
        <f>B14*(1+'Demo &amp; Health'!B$11)</f>
        <v>20923647.261872385</v>
      </c>
      <c r="C15" s="178">
        <f>C14*(1+'Demo &amp; Health'!B$11)</f>
        <v>1460.7479193077227</v>
      </c>
    </row>
    <row r="16" spans="1:3" ht="13.5">
      <c r="A16" s="171">
        <v>2016</v>
      </c>
      <c r="B16" s="172">
        <f>B15*(1+'Demo &amp; Health'!B$11)</f>
        <v>21132883.73449111</v>
      </c>
      <c r="C16" s="178">
        <f>C15*(1+'Demo &amp; Health'!B$11)</f>
        <v>1475.3553985008</v>
      </c>
    </row>
    <row r="17" spans="1:3" ht="13.5">
      <c r="A17" s="171">
        <v>2017</v>
      </c>
      <c r="B17" s="172">
        <f>B16*(1+'Demo &amp; Health'!B$11)</f>
        <v>21344212.57183602</v>
      </c>
      <c r="C17" s="178">
        <f>C16*(1+'Demo &amp; Health'!B$11)</f>
        <v>1490.108952485808</v>
      </c>
    </row>
    <row r="18" spans="1:3" ht="13.5">
      <c r="A18" s="171">
        <v>2018</v>
      </c>
      <c r="B18" s="172">
        <f>B17*(1+'Demo &amp; Health'!B$11)</f>
        <v>21557654.69755438</v>
      </c>
      <c r="C18" s="178">
        <f>C17*(1+'Demo &amp; Health'!B$11)</f>
        <v>1505.010042010666</v>
      </c>
    </row>
    <row r="19" spans="1:3" ht="13.5">
      <c r="A19" s="171">
        <v>2019</v>
      </c>
      <c r="B19" s="172">
        <f>B18*(1+'Demo &amp; Health'!B$11)</f>
        <v>21773231.244529925</v>
      </c>
      <c r="C19" s="178">
        <f>C18*(1+'Demo &amp; Health'!B$11)</f>
        <v>1520.0601424307727</v>
      </c>
    </row>
    <row r="20" spans="1:3" ht="13.5">
      <c r="A20" s="171">
        <v>2020</v>
      </c>
      <c r="B20" s="172">
        <f>B19*(1+'Demo &amp; Health'!B$11)</f>
        <v>21990963.556975223</v>
      </c>
      <c r="C20" s="178">
        <f>C19*(1+'Demo &amp; Health'!B$11)</f>
        <v>1535.2607438550804</v>
      </c>
    </row>
    <row r="21" spans="1:3" ht="13.5">
      <c r="A21" s="171">
        <v>2021</v>
      </c>
      <c r="B21" s="172">
        <f>B20*(1+'Demo &amp; Health'!B$11)</f>
        <v>22210873.192544974</v>
      </c>
      <c r="C21" s="178">
        <f>C20*(1+'Demo &amp; Health'!B$11)</f>
        <v>1550.6133512936312</v>
      </c>
    </row>
    <row r="22" spans="1:3" ht="13.5">
      <c r="A22" s="171">
        <v>2022</v>
      </c>
      <c r="B22" s="172">
        <f>B21*(1+'Demo &amp; Health'!B$11)</f>
        <v>22432981.924470425</v>
      </c>
      <c r="C22" s="178">
        <f>C21*(1+'Demo &amp; Health'!B$11)</f>
        <v>1566.1194848065675</v>
      </c>
    </row>
    <row r="23" spans="1:3" ht="13.5">
      <c r="A23" s="171">
        <v>2023</v>
      </c>
      <c r="B23" s="172">
        <f>B22*(1+'Demo &amp; Health'!B$11)</f>
        <v>22657311.74371513</v>
      </c>
      <c r="C23" s="178">
        <f>C22*(1+'Demo &amp; Health'!B$11)</f>
        <v>1581.780679654633</v>
      </c>
    </row>
    <row r="24" spans="1:3" ht="13.5">
      <c r="A24" s="175"/>
      <c r="B24" s="172">
        <f>SUM(B14:B23)</f>
        <v>216740242.36548698</v>
      </c>
      <c r="C24" s="178">
        <f>SUM(C14:C23)</f>
        <v>15131.34178296719</v>
      </c>
    </row>
    <row r="25" ht="13.5" hidden="1">
      <c r="A25" s="13">
        <v>2023</v>
      </c>
    </row>
    <row r="26" ht="13.5" hidden="1">
      <c r="A26" s="5"/>
    </row>
  </sheetData>
  <sheetProtection/>
  <printOptions/>
  <pageMargins left="0.75" right="0.75" top="1" bottom="1" header="0.5" footer="0.5"/>
  <pageSetup horizontalDpi="600" verticalDpi="600" orientation="portrait"/>
</worksheet>
</file>

<file path=xl/worksheets/sheet5.xml><?xml version="1.0" encoding="utf-8"?>
<worksheet xmlns="http://schemas.openxmlformats.org/spreadsheetml/2006/main" xmlns:r="http://schemas.openxmlformats.org/officeDocument/2006/relationships">
  <sheetPr>
    <tabColor rgb="FFC00000"/>
  </sheetPr>
  <dimension ref="A1:C48"/>
  <sheetViews>
    <sheetView zoomScale="101" zoomScaleNormal="101" workbookViewId="0" topLeftCell="A1">
      <selection activeCell="J10" sqref="J10:J11"/>
    </sheetView>
  </sheetViews>
  <sheetFormatPr defaultColWidth="8.8515625" defaultRowHeight="12.75"/>
  <cols>
    <col min="1" max="1" width="82.140625" style="0" customWidth="1"/>
    <col min="2" max="2" width="12.140625" style="0" bestFit="1" customWidth="1"/>
    <col min="3" max="3" width="35.28125" style="0" bestFit="1" customWidth="1"/>
  </cols>
  <sheetData>
    <row r="1" spans="1:3" ht="12.75">
      <c r="A1" s="187" t="s">
        <v>321</v>
      </c>
      <c r="B1" s="196"/>
      <c r="C1" s="199" t="s">
        <v>41</v>
      </c>
    </row>
    <row r="2" spans="1:3" ht="12.75">
      <c r="A2" s="187" t="s">
        <v>5</v>
      </c>
      <c r="B2" s="200"/>
      <c r="C2" s="159"/>
    </row>
    <row r="3" spans="1:3" ht="12.75">
      <c r="A3" s="189" t="s">
        <v>167</v>
      </c>
      <c r="B3" s="130">
        <v>2</v>
      </c>
      <c r="C3" s="159" t="s">
        <v>292</v>
      </c>
    </row>
    <row r="4" spans="1:3" ht="12.75">
      <c r="A4" s="189" t="s">
        <v>322</v>
      </c>
      <c r="B4" s="306">
        <v>0.72</v>
      </c>
      <c r="C4" s="159" t="s">
        <v>193</v>
      </c>
    </row>
    <row r="5" spans="1:3" ht="12.75">
      <c r="A5" s="189" t="s">
        <v>323</v>
      </c>
      <c r="B5" s="201">
        <f>B4*B3*'Demo &amp; Health'!B9/1000</f>
        <v>855.36</v>
      </c>
      <c r="C5" s="159" t="s">
        <v>44</v>
      </c>
    </row>
    <row r="6" spans="1:3" ht="12.75">
      <c r="A6" s="189" t="s">
        <v>53</v>
      </c>
      <c r="B6" s="131">
        <v>0.9</v>
      </c>
      <c r="C6" s="159" t="s">
        <v>292</v>
      </c>
    </row>
    <row r="7" spans="1:3" ht="12.75">
      <c r="A7" s="189" t="s">
        <v>192</v>
      </c>
      <c r="B7" s="202">
        <f>B5*B6</f>
        <v>769.8240000000001</v>
      </c>
      <c r="C7" s="159" t="s">
        <v>44</v>
      </c>
    </row>
    <row r="8" spans="1:3" ht="12.75">
      <c r="A8" s="189" t="s">
        <v>324</v>
      </c>
      <c r="B8" s="202">
        <f>B5*(1-B6)</f>
        <v>85.53599999999999</v>
      </c>
      <c r="C8" s="159" t="s">
        <v>44</v>
      </c>
    </row>
    <row r="9" spans="1:3" ht="12.75">
      <c r="A9" s="189" t="s">
        <v>325</v>
      </c>
      <c r="B9" s="131">
        <v>0.33</v>
      </c>
      <c r="C9" s="159" t="s">
        <v>292</v>
      </c>
    </row>
    <row r="10" spans="1:3" ht="12.75">
      <c r="A10" s="189" t="s">
        <v>326</v>
      </c>
      <c r="B10" s="131">
        <v>0.67</v>
      </c>
      <c r="C10" s="159" t="s">
        <v>292</v>
      </c>
    </row>
    <row r="11" spans="1:3" ht="12.75">
      <c r="A11" s="189" t="s">
        <v>327</v>
      </c>
      <c r="B11" s="202">
        <f>B8*B9</f>
        <v>28.226879999999998</v>
      </c>
      <c r="C11" s="159" t="s">
        <v>44</v>
      </c>
    </row>
    <row r="12" spans="1:3" ht="12.75">
      <c r="A12" s="189" t="s">
        <v>328</v>
      </c>
      <c r="B12" s="202">
        <f>B10*B8</f>
        <v>57.30911999999999</v>
      </c>
      <c r="C12" s="159" t="s">
        <v>44</v>
      </c>
    </row>
    <row r="13" spans="1:3" s="1" customFormat="1" ht="12.75">
      <c r="A13" s="187" t="s">
        <v>1</v>
      </c>
      <c r="B13" s="153"/>
      <c r="C13" s="159"/>
    </row>
    <row r="14" spans="1:3" s="2" customFormat="1" ht="12.75">
      <c r="A14" s="195" t="s">
        <v>329</v>
      </c>
      <c r="B14" s="132">
        <f>Econ!B19</f>
        <v>1764.705882352941</v>
      </c>
      <c r="C14" s="160" t="s">
        <v>352</v>
      </c>
    </row>
    <row r="15" spans="1:3" s="2" customFormat="1" ht="12.75">
      <c r="A15" s="196" t="s">
        <v>181</v>
      </c>
      <c r="B15" s="133">
        <f>Econ!B2</f>
        <v>0.85</v>
      </c>
      <c r="C15" s="160" t="s">
        <v>352</v>
      </c>
    </row>
    <row r="16" spans="1:3" s="2" customFormat="1" ht="12.75">
      <c r="A16" s="189" t="s">
        <v>330</v>
      </c>
      <c r="B16" s="203">
        <f>B7*B15*(PV(Econ!B23,Econ!B15,-B14)-PV(Econ!B23,Econ!B12,-B14))</f>
        <v>11026903.147914339</v>
      </c>
      <c r="C16" s="159" t="s">
        <v>44</v>
      </c>
    </row>
    <row r="17" spans="1:3" ht="25.5">
      <c r="A17" s="197" t="s">
        <v>331</v>
      </c>
      <c r="B17" s="188">
        <f>(B11*B15*(PV(Econ!B23,Econ!B15,-B14)-PV(Econ!B23,Econ!B12,-B14)))/2</f>
        <v>202159.89104509618</v>
      </c>
      <c r="C17" s="159" t="s">
        <v>44</v>
      </c>
    </row>
    <row r="18" spans="1:3" ht="12.75">
      <c r="A18" s="189" t="s">
        <v>332</v>
      </c>
      <c r="B18" s="188">
        <f>B11*B15*(PV(Econ!B23,Econ!B15,-B14)-PV(Econ!B23,Econ!B12,-B14))</f>
        <v>404319.78209019237</v>
      </c>
      <c r="C18" s="159" t="s">
        <v>44</v>
      </c>
    </row>
    <row r="19" spans="1:3" ht="12.75">
      <c r="A19" s="193" t="s">
        <v>184</v>
      </c>
      <c r="B19" s="190">
        <f>SUM(B16:B18)</f>
        <v>11633382.821049627</v>
      </c>
      <c r="C19" s="159" t="s">
        <v>44</v>
      </c>
    </row>
    <row r="20" spans="1:3" ht="12.75">
      <c r="A20" s="198"/>
      <c r="B20" s="190"/>
      <c r="C20" s="159"/>
    </row>
    <row r="21" spans="1:3" ht="12.75">
      <c r="A21" s="193" t="s">
        <v>397</v>
      </c>
      <c r="B21" s="188"/>
      <c r="C21" s="159"/>
    </row>
    <row r="22" spans="1:3" ht="12.75">
      <c r="A22" s="154" t="s">
        <v>333</v>
      </c>
      <c r="B22" s="92">
        <v>0.1</v>
      </c>
      <c r="C22" s="159" t="s">
        <v>292</v>
      </c>
    </row>
    <row r="23" spans="1:3" ht="12.75">
      <c r="A23" s="154" t="s">
        <v>412</v>
      </c>
      <c r="B23" s="93">
        <v>1000</v>
      </c>
      <c r="C23" s="159" t="s">
        <v>292</v>
      </c>
    </row>
    <row r="24" spans="1:3" ht="12.75">
      <c r="A24" s="189" t="s">
        <v>334</v>
      </c>
      <c r="B24" s="93">
        <v>250</v>
      </c>
      <c r="C24" s="159" t="s">
        <v>292</v>
      </c>
    </row>
    <row r="25" spans="1:3" ht="12.75">
      <c r="A25" s="189" t="s">
        <v>195</v>
      </c>
      <c r="B25" s="93">
        <v>100</v>
      </c>
      <c r="C25" s="159" t="s">
        <v>292</v>
      </c>
    </row>
    <row r="26" spans="1:3" ht="12.75">
      <c r="A26" s="189" t="s">
        <v>194</v>
      </c>
      <c r="B26" s="93">
        <v>200</v>
      </c>
      <c r="C26" s="159" t="s">
        <v>292</v>
      </c>
    </row>
    <row r="27" spans="1:3" ht="12.75">
      <c r="A27" s="187" t="s">
        <v>398</v>
      </c>
      <c r="B27" s="188"/>
      <c r="C27" s="154"/>
    </row>
    <row r="28" spans="1:3" ht="12.75">
      <c r="A28" s="189" t="s">
        <v>196</v>
      </c>
      <c r="B28" s="188">
        <f>B22*B23*B5</f>
        <v>85536</v>
      </c>
      <c r="C28" s="154" t="s">
        <v>44</v>
      </c>
    </row>
    <row r="29" spans="1:3" ht="12.75">
      <c r="A29" s="189" t="s">
        <v>197</v>
      </c>
      <c r="B29" s="188">
        <f>(B24*B11)+(B12*B26)</f>
        <v>18518.543999999998</v>
      </c>
      <c r="C29" s="154" t="s">
        <v>44</v>
      </c>
    </row>
    <row r="30" spans="1:3" ht="12.75">
      <c r="A30" s="189" t="s">
        <v>335</v>
      </c>
      <c r="B30" s="188">
        <f>B26*(B11+B12)</f>
        <v>17107.199999999997</v>
      </c>
      <c r="C30" s="154" t="s">
        <v>44</v>
      </c>
    </row>
    <row r="31" spans="1:3" ht="12.75">
      <c r="A31" s="189" t="s">
        <v>198</v>
      </c>
      <c r="B31" s="190">
        <f>SUM(B28:B30)</f>
        <v>121161.74399999999</v>
      </c>
      <c r="C31" s="154" t="s">
        <v>44</v>
      </c>
    </row>
    <row r="32" spans="1:3" ht="11.25" customHeight="1">
      <c r="A32" s="189"/>
      <c r="B32" s="188"/>
      <c r="C32" s="191"/>
    </row>
    <row r="33" spans="1:3" ht="12.75">
      <c r="A33" s="192" t="s">
        <v>233</v>
      </c>
      <c r="B33" s="190"/>
      <c r="C33" s="193" t="s">
        <v>251</v>
      </c>
    </row>
    <row r="34" spans="1:3" ht="12.75">
      <c r="A34" s="151">
        <v>2014</v>
      </c>
      <c r="B34" s="188">
        <f>(B19)+B31</f>
        <v>11754544.565049628</v>
      </c>
      <c r="C34" s="194">
        <f>B7</f>
        <v>769.8240000000001</v>
      </c>
    </row>
    <row r="35" spans="1:3" ht="12.75">
      <c r="A35" s="151">
        <v>2015</v>
      </c>
      <c r="B35" s="188">
        <f>B34*(1+'Demo &amp; Health'!B$11)</f>
        <v>11872090.010700123</v>
      </c>
      <c r="C35" s="194">
        <f>C34*(1+'Demo &amp; Health'!B$11)</f>
        <v>777.5222400000001</v>
      </c>
    </row>
    <row r="36" spans="1:3" ht="12.75">
      <c r="A36" s="151">
        <v>2016</v>
      </c>
      <c r="B36" s="188">
        <f>B35*(1+'Demo &amp; Health'!B$11)</f>
        <v>11990810.910807125</v>
      </c>
      <c r="C36" s="194">
        <f>C35*(1+'Demo &amp; Health'!B$11)</f>
        <v>785.2974624000001</v>
      </c>
    </row>
    <row r="37" spans="1:3" ht="12.75">
      <c r="A37" s="151">
        <v>2017</v>
      </c>
      <c r="B37" s="188">
        <f>B36*(1+'Demo &amp; Health'!B$11)</f>
        <v>12110719.019915197</v>
      </c>
      <c r="C37" s="194">
        <f>C36*(1+'Demo &amp; Health'!B$11)</f>
        <v>793.1504370240001</v>
      </c>
    </row>
    <row r="38" spans="1:3" ht="12.75">
      <c r="A38" s="151">
        <v>2018</v>
      </c>
      <c r="B38" s="188">
        <f>B37*(1+'Demo &amp; Health'!B$11)</f>
        <v>12231826.210114349</v>
      </c>
      <c r="C38" s="194">
        <f>C37*(1+'Demo &amp; Health'!B$11)</f>
        <v>801.0819413942401</v>
      </c>
    </row>
    <row r="39" spans="1:3" ht="12.75">
      <c r="A39" s="151">
        <v>2019</v>
      </c>
      <c r="B39" s="188">
        <f>B38*(1+'Demo &amp; Health'!B$11)</f>
        <v>12354144.472215492</v>
      </c>
      <c r="C39" s="194">
        <f>C38*(1+'Demo &amp; Health'!B$11)</f>
        <v>809.0927608081824</v>
      </c>
    </row>
    <row r="40" spans="1:3" ht="12.75">
      <c r="A40" s="151">
        <v>2020</v>
      </c>
      <c r="B40" s="188">
        <f>B39*(1+'Demo &amp; Health'!B$11)</f>
        <v>12477685.916937647</v>
      </c>
      <c r="C40" s="194">
        <f>C39*(1+'Demo &amp; Health'!B$11)</f>
        <v>817.1836884162643</v>
      </c>
    </row>
    <row r="41" spans="1:3" ht="12.75">
      <c r="A41" s="151">
        <v>2021</v>
      </c>
      <c r="B41" s="188">
        <f>B40*(1+'Demo &amp; Health'!B$11)</f>
        <v>12602462.776107024</v>
      </c>
      <c r="C41" s="194">
        <f>C40*(1+'Demo &amp; Health'!B$11)</f>
        <v>825.355525300427</v>
      </c>
    </row>
    <row r="42" spans="1:3" ht="12.75">
      <c r="A42" s="151">
        <v>2022</v>
      </c>
      <c r="B42" s="188">
        <f>B41*(1+'Demo &amp; Health'!B$11)</f>
        <v>12728487.403868094</v>
      </c>
      <c r="C42" s="194">
        <f>C41*(1+'Demo &amp; Health'!B$11)</f>
        <v>833.6090805534312</v>
      </c>
    </row>
    <row r="43" spans="1:3" ht="12.75">
      <c r="A43" s="151">
        <v>2023</v>
      </c>
      <c r="B43" s="188">
        <f>B42*(1+'Demo &amp; Health'!B$11)</f>
        <v>12855772.277906775</v>
      </c>
      <c r="C43" s="194">
        <f>C42*(1+'Demo &amp; Health'!B$11)</f>
        <v>841.9451713589656</v>
      </c>
    </row>
    <row r="44" spans="1:3" ht="12.75">
      <c r="A44" s="189"/>
      <c r="B44" s="190">
        <f>SUM(B34:B43)</f>
        <v>122978543.56362145</v>
      </c>
      <c r="C44" s="194">
        <f>SUM(C34:C43)</f>
        <v>8054.062307255512</v>
      </c>
    </row>
    <row r="45" spans="1:3" ht="12.75">
      <c r="A45" s="2"/>
      <c r="B45" s="2"/>
      <c r="C45" s="2"/>
    </row>
    <row r="46" spans="1:3" ht="12.75">
      <c r="A46" s="2"/>
      <c r="B46" s="2"/>
      <c r="C46" s="2"/>
    </row>
    <row r="47" spans="1:3" ht="12.75">
      <c r="A47" s="2"/>
      <c r="B47" s="2"/>
      <c r="C47" s="2"/>
    </row>
    <row r="48" spans="1:3" ht="12.75">
      <c r="A48" s="83" t="s">
        <v>255</v>
      </c>
      <c r="B48" s="84">
        <f>B31/B19</f>
        <v>0.010415005322507569</v>
      </c>
      <c r="C48" s="2"/>
    </row>
  </sheetData>
  <sheetProtection/>
  <printOptions/>
  <pageMargins left="0.75" right="0.75" top="1" bottom="1" header="0.5" footer="0.5"/>
  <pageSetup horizontalDpi="600" verticalDpi="600" orientation="portrait"/>
  <legacyDrawing r:id="rId2"/>
</worksheet>
</file>

<file path=xl/worksheets/sheet6.xml><?xml version="1.0" encoding="utf-8"?>
<worksheet xmlns="http://schemas.openxmlformats.org/spreadsheetml/2006/main" xmlns:r="http://schemas.openxmlformats.org/officeDocument/2006/relationships">
  <sheetPr>
    <tabColor rgb="FFC00000"/>
  </sheetPr>
  <dimension ref="A1:C46"/>
  <sheetViews>
    <sheetView zoomScale="101" zoomScaleNormal="101" workbookViewId="0" topLeftCell="A1">
      <selection activeCell="G19" sqref="G19"/>
    </sheetView>
  </sheetViews>
  <sheetFormatPr defaultColWidth="8.8515625" defaultRowHeight="12.75"/>
  <cols>
    <col min="1" max="1" width="63.8515625" style="22" customWidth="1"/>
    <col min="2" max="2" width="13.421875" style="22" bestFit="1" customWidth="1"/>
    <col min="3" max="3" width="47.140625" style="22" bestFit="1" customWidth="1"/>
    <col min="4" max="4" width="11.28125" style="22" bestFit="1" customWidth="1"/>
    <col min="5" max="16384" width="8.8515625" style="22" customWidth="1"/>
  </cols>
  <sheetData>
    <row r="1" spans="1:3" ht="12">
      <c r="A1" s="193" t="s">
        <v>77</v>
      </c>
      <c r="B1" s="154"/>
      <c r="C1" s="159"/>
    </row>
    <row r="2" spans="1:3" ht="12">
      <c r="A2" s="193" t="s">
        <v>5</v>
      </c>
      <c r="B2" s="154"/>
      <c r="C2" s="199" t="s">
        <v>41</v>
      </c>
    </row>
    <row r="3" spans="1:3" ht="12">
      <c r="A3" s="154" t="s">
        <v>52</v>
      </c>
      <c r="B3" s="134">
        <f>'Demo &amp; Health'!B9</f>
        <v>594000</v>
      </c>
      <c r="C3" s="160" t="s">
        <v>352</v>
      </c>
    </row>
    <row r="4" spans="1:3" ht="12">
      <c r="A4" s="154" t="s">
        <v>169</v>
      </c>
      <c r="B4" s="135">
        <f>'Demo &amp; Health'!B16</f>
        <v>400</v>
      </c>
      <c r="C4" s="160" t="s">
        <v>352</v>
      </c>
    </row>
    <row r="5" spans="1:3" ht="12">
      <c r="A5" s="154" t="s">
        <v>336</v>
      </c>
      <c r="B5" s="201">
        <f>B3*B4/100000</f>
        <v>2376</v>
      </c>
      <c r="C5" s="159" t="s">
        <v>44</v>
      </c>
    </row>
    <row r="6" spans="1:3" ht="12">
      <c r="A6" s="154" t="s">
        <v>337</v>
      </c>
      <c r="B6" s="136">
        <f>'Demo &amp; Health'!B30</f>
        <v>0.5</v>
      </c>
      <c r="C6" s="160" t="s">
        <v>352</v>
      </c>
    </row>
    <row r="7" spans="1:3" ht="12">
      <c r="A7" s="154" t="s">
        <v>338</v>
      </c>
      <c r="B7" s="136">
        <f>'Demo &amp; Health'!B31</f>
        <v>0.48033707865168546</v>
      </c>
      <c r="C7" s="160" t="s">
        <v>352</v>
      </c>
    </row>
    <row r="8" spans="1:3" ht="12">
      <c r="A8" s="193" t="s">
        <v>171</v>
      </c>
      <c r="B8" s="154"/>
      <c r="C8" s="159"/>
    </row>
    <row r="9" spans="1:3" ht="12">
      <c r="A9" s="154" t="s">
        <v>339</v>
      </c>
      <c r="B9" s="204">
        <f>B22-NORMINV(B6,0,B28)</f>
        <v>12</v>
      </c>
      <c r="C9" s="159" t="s">
        <v>278</v>
      </c>
    </row>
    <row r="10" spans="1:3" ht="12">
      <c r="A10" s="154" t="s">
        <v>340</v>
      </c>
      <c r="B10" s="204">
        <f>B22-NORMINV(B6*(1-B7),0,B29)</f>
        <v>12.772638107628794</v>
      </c>
      <c r="C10" s="159" t="s">
        <v>279</v>
      </c>
    </row>
    <row r="11" spans="1:3" ht="12">
      <c r="A11" s="154" t="s">
        <v>341</v>
      </c>
      <c r="B11" s="204">
        <f>B10-B9</f>
        <v>0.7726381076287936</v>
      </c>
      <c r="C11" s="159" t="s">
        <v>44</v>
      </c>
    </row>
    <row r="12" spans="1:3" ht="12">
      <c r="A12" s="154" t="s">
        <v>342</v>
      </c>
      <c r="B12" s="307">
        <v>0.71</v>
      </c>
      <c r="C12" s="159" t="s">
        <v>280</v>
      </c>
    </row>
    <row r="13" spans="1:3" ht="12">
      <c r="A13" s="154" t="s">
        <v>343</v>
      </c>
      <c r="B13" s="205">
        <f>1-B12^B11</f>
        <v>0.23250327312344887</v>
      </c>
      <c r="C13" s="159" t="s">
        <v>44</v>
      </c>
    </row>
    <row r="14" spans="1:3" ht="12">
      <c r="A14" s="154" t="s">
        <v>221</v>
      </c>
      <c r="B14" s="206">
        <f>B13*B5</f>
        <v>552.4277769413145</v>
      </c>
      <c r="C14" s="159" t="s">
        <v>44</v>
      </c>
    </row>
    <row r="15" spans="1:3" ht="12">
      <c r="A15" s="193" t="s">
        <v>1</v>
      </c>
      <c r="B15" s="154"/>
      <c r="C15" s="159"/>
    </row>
    <row r="16" spans="1:3" ht="12">
      <c r="A16" s="154" t="s">
        <v>6</v>
      </c>
      <c r="B16" s="137">
        <f>Econ!B19*Econ!B22</f>
        <v>1588.2352941176468</v>
      </c>
      <c r="C16" s="160" t="s">
        <v>352</v>
      </c>
    </row>
    <row r="17" spans="1:3" ht="12">
      <c r="A17" s="154" t="s">
        <v>183</v>
      </c>
      <c r="B17" s="136">
        <f>Econ!B4</f>
        <v>0.8</v>
      </c>
      <c r="C17" s="160" t="s">
        <v>352</v>
      </c>
    </row>
    <row r="18" spans="1:3" ht="12">
      <c r="A18" s="154" t="s">
        <v>344</v>
      </c>
      <c r="B18" s="207">
        <f>B14*B17*(PV(Econ!B23,(Econ!B13-(Econ!B11-Econ!B12)),-B16))</f>
        <v>14066087.138448888</v>
      </c>
      <c r="C18" s="159" t="s">
        <v>44</v>
      </c>
    </row>
    <row r="19" spans="1:3" ht="12.75" customHeight="1">
      <c r="A19" s="154"/>
      <c r="B19" s="208"/>
      <c r="C19" s="159"/>
    </row>
    <row r="20" spans="1:3" ht="12.75" customHeight="1">
      <c r="A20" s="75" t="s">
        <v>281</v>
      </c>
      <c r="B20" s="76"/>
      <c r="C20" s="76"/>
    </row>
    <row r="21" spans="1:3" ht="12.75" customHeight="1" hidden="1">
      <c r="A21" s="76" t="s">
        <v>172</v>
      </c>
      <c r="B21" s="76">
        <f>B6*100</f>
        <v>50</v>
      </c>
      <c r="C21" s="76"/>
    </row>
    <row r="22" spans="1:3" ht="12.75" customHeight="1" hidden="1">
      <c r="A22" s="76" t="s">
        <v>173</v>
      </c>
      <c r="B22" s="76">
        <v>12</v>
      </c>
      <c r="C22" s="76"/>
    </row>
    <row r="23" spans="1:3" ht="12.75" customHeight="1" hidden="1">
      <c r="A23" s="76" t="s">
        <v>174</v>
      </c>
      <c r="B23" s="76">
        <v>1</v>
      </c>
      <c r="C23" s="76"/>
    </row>
    <row r="24" spans="1:3" ht="12.75" customHeight="1" hidden="1">
      <c r="A24" s="76" t="s">
        <v>175</v>
      </c>
      <c r="B24" s="76">
        <v>1.2</v>
      </c>
      <c r="C24" s="76"/>
    </row>
    <row r="25" spans="1:3" ht="12.75" customHeight="1" hidden="1">
      <c r="A25" s="76" t="s">
        <v>176</v>
      </c>
      <c r="B25" s="76">
        <v>1.5</v>
      </c>
      <c r="C25" s="76"/>
    </row>
    <row r="26" spans="1:3" ht="12.75" customHeight="1" hidden="1">
      <c r="A26" s="76" t="s">
        <v>177</v>
      </c>
      <c r="B26" s="76">
        <v>15</v>
      </c>
      <c r="C26" s="76"/>
    </row>
    <row r="27" spans="1:3" ht="12.75" customHeight="1" hidden="1">
      <c r="A27" s="76" t="s">
        <v>178</v>
      </c>
      <c r="B27" s="76">
        <v>30</v>
      </c>
      <c r="C27" s="76"/>
    </row>
    <row r="28" spans="1:3" ht="12.75" customHeight="1" hidden="1">
      <c r="A28" s="76" t="s">
        <v>179</v>
      </c>
      <c r="B28" s="76">
        <f>IF(B21&lt;B26,B23,IF(B21&lt;=B27,B24,B25))</f>
        <v>1.5</v>
      </c>
      <c r="C28" s="76"/>
    </row>
    <row r="29" spans="1:3" ht="12.75" customHeight="1" hidden="1">
      <c r="A29" s="76" t="s">
        <v>180</v>
      </c>
      <c r="B29" s="76">
        <f>IF(B21*(1-B30)&lt;B26,B23,IF(B21*(1-B30)&lt;=B27,B24,B25))</f>
        <v>1.2</v>
      </c>
      <c r="C29" s="76"/>
    </row>
    <row r="30" spans="1:3" ht="12.75" customHeight="1" hidden="1">
      <c r="A30" s="76" t="s">
        <v>170</v>
      </c>
      <c r="B30" s="76">
        <f>B7</f>
        <v>0.48033707865168546</v>
      </c>
      <c r="C30" s="76"/>
    </row>
    <row r="31" spans="1:3" ht="12.75" customHeight="1">
      <c r="A31" s="76"/>
      <c r="B31" s="76"/>
      <c r="C31" s="76"/>
    </row>
    <row r="32" spans="1:3" ht="12.75" customHeight="1">
      <c r="A32" s="76"/>
      <c r="B32" s="76"/>
      <c r="C32" s="76"/>
    </row>
    <row r="33" spans="1:3" ht="12">
      <c r="A33" s="193" t="s">
        <v>153</v>
      </c>
      <c r="B33" s="154"/>
      <c r="C33" s="193" t="s">
        <v>251</v>
      </c>
    </row>
    <row r="34" spans="1:3" ht="12">
      <c r="A34" s="154">
        <v>2014</v>
      </c>
      <c r="B34" s="188">
        <f>B18</f>
        <v>14066087.138448888</v>
      </c>
      <c r="C34" s="194">
        <f>B14</f>
        <v>552.4277769413145</v>
      </c>
    </row>
    <row r="35" spans="1:3" ht="12">
      <c r="A35" s="154">
        <v>2015</v>
      </c>
      <c r="B35" s="188">
        <f>B34*(1+'Demo &amp; Health'!B$11)</f>
        <v>14206748.009833377</v>
      </c>
      <c r="C35" s="194">
        <f>C34*(1+'Demo &amp; Health'!B$11)</f>
        <v>557.9520547107277</v>
      </c>
    </row>
    <row r="36" spans="1:3" ht="12">
      <c r="A36" s="154">
        <v>2016</v>
      </c>
      <c r="B36" s="188">
        <f>B35*(1+'Demo &amp; Health'!B$11)</f>
        <v>14348815.48993171</v>
      </c>
      <c r="C36" s="194">
        <f>C35*(1+'Demo &amp; Health'!B$11)</f>
        <v>563.531575257835</v>
      </c>
    </row>
    <row r="37" spans="1:3" ht="13.5" customHeight="1">
      <c r="A37" s="154">
        <v>2017</v>
      </c>
      <c r="B37" s="188">
        <f>B36*(1+'Demo &amp; Health'!B$11)</f>
        <v>14492303.644831028</v>
      </c>
      <c r="C37" s="194">
        <f>C36*(1+'Demo &amp; Health'!B$11)</f>
        <v>569.1668910104133</v>
      </c>
    </row>
    <row r="38" spans="1:3" ht="12">
      <c r="A38" s="154">
        <v>2018</v>
      </c>
      <c r="B38" s="188">
        <f>B37*(1+'Demo &amp; Health'!B$11)</f>
        <v>14637226.681279339</v>
      </c>
      <c r="C38" s="194">
        <f>C37*(1+'Demo &amp; Health'!B$11)</f>
        <v>574.8585599205175</v>
      </c>
    </row>
    <row r="39" spans="1:3" ht="12">
      <c r="A39" s="154">
        <v>2019</v>
      </c>
      <c r="B39" s="188">
        <f>B38*(1+'Demo &amp; Health'!B$11)</f>
        <v>14783598.948092133</v>
      </c>
      <c r="C39" s="194">
        <f>C38*(1+'Demo &amp; Health'!B$11)</f>
        <v>580.6071455197226</v>
      </c>
    </row>
    <row r="40" spans="1:3" ht="12">
      <c r="A40" s="154">
        <v>2020</v>
      </c>
      <c r="B40" s="188">
        <f>B39*(1+'Demo &amp; Health'!B$11)</f>
        <v>14931434.937573055</v>
      </c>
      <c r="C40" s="194">
        <f>C39*(1+'Demo &amp; Health'!B$11)</f>
        <v>586.4132169749198</v>
      </c>
    </row>
    <row r="41" spans="1:3" ht="12">
      <c r="A41" s="154">
        <v>2021</v>
      </c>
      <c r="B41" s="188">
        <f>B40*(1+'Demo &amp; Health'!B$11)</f>
        <v>15080749.286948785</v>
      </c>
      <c r="C41" s="194">
        <f>C40*(1+'Demo &amp; Health'!B$11)</f>
        <v>592.277349144669</v>
      </c>
    </row>
    <row r="42" spans="1:3" ht="12">
      <c r="A42" s="154">
        <v>2022</v>
      </c>
      <c r="B42" s="188">
        <f>B41*(1+'Demo &amp; Health'!B$11)</f>
        <v>15231556.779818274</v>
      </c>
      <c r="C42" s="194">
        <f>C41*(1+'Demo &amp; Health'!B$11)</f>
        <v>598.2001226361157</v>
      </c>
    </row>
    <row r="43" spans="1:3" ht="12">
      <c r="A43" s="154">
        <v>2023</v>
      </c>
      <c r="B43" s="188">
        <f>B42*(1+'Demo &amp; Health'!B$11)</f>
        <v>15383872.347616456</v>
      </c>
      <c r="C43" s="194">
        <f>C42*(1+'Demo &amp; Health'!B$11)</f>
        <v>604.1821238624768</v>
      </c>
    </row>
    <row r="44" spans="1:3" ht="12">
      <c r="A44" s="154"/>
      <c r="B44" s="190">
        <f>SUM(B34:B43)</f>
        <v>147162393.26437306</v>
      </c>
      <c r="C44" s="194">
        <f>SUM(C34:C43)</f>
        <v>5779.616815978711</v>
      </c>
    </row>
    <row r="45" spans="1:3" ht="12">
      <c r="A45" s="74"/>
      <c r="B45" s="74"/>
      <c r="C45" s="74"/>
    </row>
    <row r="46" spans="1:3" ht="12.75">
      <c r="A46" s="73"/>
      <c r="B46" s="73"/>
      <c r="C46" s="73"/>
    </row>
  </sheetData>
  <sheetProtection/>
  <printOptions/>
  <pageMargins left="0.7" right="0.7" top="0.75" bottom="0.75" header="0.3" footer="0.3"/>
  <pageSetup orientation="portrait"/>
</worksheet>
</file>

<file path=xl/worksheets/sheet7.xml><?xml version="1.0" encoding="utf-8"?>
<worksheet xmlns="http://schemas.openxmlformats.org/spreadsheetml/2006/main" xmlns:r="http://schemas.openxmlformats.org/officeDocument/2006/relationships">
  <sheetPr>
    <tabColor theme="3"/>
  </sheetPr>
  <dimension ref="A1:C9"/>
  <sheetViews>
    <sheetView zoomScale="101" zoomScaleNormal="101" workbookViewId="0" topLeftCell="A1">
      <selection activeCell="D17" sqref="D17"/>
    </sheetView>
  </sheetViews>
  <sheetFormatPr defaultColWidth="8.8515625" defaultRowHeight="12.75"/>
  <cols>
    <col min="1" max="1" width="18.7109375" style="0" bestFit="1" customWidth="1"/>
    <col min="2" max="2" width="9.140625" style="0" bestFit="1" customWidth="1"/>
    <col min="3" max="3" width="12.00390625" style="0" customWidth="1"/>
    <col min="4" max="4" width="13.7109375" style="0" bestFit="1" customWidth="1"/>
  </cols>
  <sheetData>
    <row r="1" spans="1:3" s="2" customFormat="1" ht="12">
      <c r="A1" s="209" t="s">
        <v>154</v>
      </c>
      <c r="B1" s="210">
        <v>2014</v>
      </c>
      <c r="C1" s="211" t="s">
        <v>252</v>
      </c>
    </row>
    <row r="2" spans="1:3" s="2" customFormat="1" ht="12">
      <c r="A2" s="212" t="s">
        <v>77</v>
      </c>
      <c r="B2" s="213">
        <f>'Mat Mort'!B14</f>
        <v>552.4277769413145</v>
      </c>
      <c r="C2" s="214">
        <f>'Mat Mort'!C44</f>
        <v>5779.616815978711</v>
      </c>
    </row>
    <row r="3" spans="1:3" ht="12">
      <c r="A3" s="215" t="s">
        <v>76</v>
      </c>
      <c r="B3" s="213">
        <f>Neonatal!B7</f>
        <v>1446.2850686215077</v>
      </c>
      <c r="C3" s="214">
        <f>Neonatal!C24</f>
        <v>15131.34178296719</v>
      </c>
    </row>
    <row r="4" spans="1:3" ht="12">
      <c r="A4" s="215" t="s">
        <v>345</v>
      </c>
      <c r="B4" s="213">
        <f>'NTD '!B7</f>
        <v>769.8240000000001</v>
      </c>
      <c r="C4" s="214">
        <f>'NTD '!C44</f>
        <v>8054.062307255512</v>
      </c>
    </row>
    <row r="5" spans="1:3" ht="12">
      <c r="A5" s="215" t="s">
        <v>48</v>
      </c>
      <c r="B5" s="213">
        <f>VAD!B7</f>
        <v>3130.9615384615395</v>
      </c>
      <c r="C5" s="214">
        <f>VAD!C24</f>
        <v>32756.785073458097</v>
      </c>
    </row>
    <row r="6" spans="1:3" ht="12">
      <c r="A6" s="216" t="s">
        <v>189</v>
      </c>
      <c r="B6" s="217">
        <f>SUM(B2:B5)</f>
        <v>5899.498384024362</v>
      </c>
      <c r="C6" s="218">
        <f>SUM(C2:C5)</f>
        <v>61721.805979659504</v>
      </c>
    </row>
    <row r="7" spans="1:3" ht="12">
      <c r="A7" s="209" t="s">
        <v>79</v>
      </c>
      <c r="B7" s="217">
        <f>B3+B4+B5</f>
        <v>5347.070607083047</v>
      </c>
      <c r="C7" s="217">
        <f>C3+C4+C5</f>
        <v>55942.1891636808</v>
      </c>
    </row>
    <row r="8" spans="1:3" ht="12">
      <c r="A8" s="2"/>
      <c r="B8" s="211">
        <f>B7/'Demo &amp; Health'!B19</f>
        <v>0.0900180236882668</v>
      </c>
      <c r="C8" s="2"/>
    </row>
    <row r="9" spans="1:3" ht="12">
      <c r="A9" s="2"/>
      <c r="B9" s="2"/>
      <c r="C9" s="2"/>
    </row>
  </sheetData>
  <sheetProtection/>
  <printOptions/>
  <pageMargins left="0.7" right="0.7" top="0.75" bottom="0.75" header="0.3" footer="0.3"/>
  <pageSetup orientation="portrait"/>
</worksheet>
</file>

<file path=xl/worksheets/sheet8.xml><?xml version="1.0" encoding="utf-8"?>
<worksheet xmlns="http://schemas.openxmlformats.org/spreadsheetml/2006/main" xmlns:r="http://schemas.openxmlformats.org/officeDocument/2006/relationships">
  <sheetPr>
    <tabColor rgb="FF00B050"/>
  </sheetPr>
  <dimension ref="A1:C26"/>
  <sheetViews>
    <sheetView zoomScale="101" zoomScaleNormal="101" workbookViewId="0" topLeftCell="A1">
      <selection activeCell="B12" sqref="B12"/>
    </sheetView>
  </sheetViews>
  <sheetFormatPr defaultColWidth="8.8515625" defaultRowHeight="12.75"/>
  <cols>
    <col min="1" max="1" width="49.28125" style="0" customWidth="1"/>
    <col min="2" max="2" width="17.28125" style="0" bestFit="1" customWidth="1"/>
    <col min="3" max="3" width="49.140625" style="0" bestFit="1" customWidth="1"/>
    <col min="4" max="4" width="5.28125" style="0" customWidth="1"/>
  </cols>
  <sheetData>
    <row r="1" spans="1:3" ht="12">
      <c r="A1" s="222" t="s">
        <v>43</v>
      </c>
      <c r="B1" s="229"/>
      <c r="C1" s="225"/>
    </row>
    <row r="2" spans="1:3" ht="12">
      <c r="A2" s="222" t="s">
        <v>4</v>
      </c>
      <c r="B2" s="231"/>
      <c r="C2" s="158" t="s">
        <v>41</v>
      </c>
    </row>
    <row r="3" spans="1:3" ht="12">
      <c r="A3" s="223" t="s">
        <v>346</v>
      </c>
      <c r="B3" s="85">
        <f>'Demo &amp; Health'!B7</f>
        <v>2666666.6666666665</v>
      </c>
      <c r="C3" s="225" t="s">
        <v>352</v>
      </c>
    </row>
    <row r="4" spans="1:3" ht="12">
      <c r="A4" s="223" t="s">
        <v>347</v>
      </c>
      <c r="B4" s="86">
        <f>'Demo &amp; Health'!B29</f>
        <v>0.11381215469613258</v>
      </c>
      <c r="C4" s="226" t="s">
        <v>352</v>
      </c>
    </row>
    <row r="5" spans="1:3" ht="12">
      <c r="A5" s="223" t="s">
        <v>348</v>
      </c>
      <c r="B5" s="230">
        <f>B4*B3</f>
        <v>303499.07918968686</v>
      </c>
      <c r="C5" s="225" t="s">
        <v>44</v>
      </c>
    </row>
    <row r="6" spans="1:3" ht="12">
      <c r="A6" s="223" t="s">
        <v>349</v>
      </c>
      <c r="B6" s="87">
        <v>0.5</v>
      </c>
      <c r="C6" s="225" t="s">
        <v>353</v>
      </c>
    </row>
    <row r="7" spans="1:3" ht="12">
      <c r="A7" s="223" t="s">
        <v>253</v>
      </c>
      <c r="B7" s="138">
        <f>B5+(B5*B6)</f>
        <v>455248.6187845303</v>
      </c>
      <c r="C7" s="225" t="s">
        <v>386</v>
      </c>
    </row>
    <row r="8" spans="1:3" ht="12">
      <c r="A8" s="219" t="s">
        <v>3</v>
      </c>
      <c r="B8" s="229"/>
      <c r="C8" s="227"/>
    </row>
    <row r="9" spans="1:3" ht="12">
      <c r="A9" s="223" t="s">
        <v>2</v>
      </c>
      <c r="B9" s="88">
        <f>Econ!B19</f>
        <v>1764.705882352941</v>
      </c>
      <c r="C9" s="226" t="s">
        <v>352</v>
      </c>
    </row>
    <row r="10" spans="1:3" ht="12">
      <c r="A10" s="224" t="s">
        <v>181</v>
      </c>
      <c r="B10" s="89">
        <f>Econ!B2</f>
        <v>0.85</v>
      </c>
      <c r="C10" s="226" t="s">
        <v>352</v>
      </c>
    </row>
    <row r="11" spans="1:3" ht="12">
      <c r="A11" s="222" t="s">
        <v>1</v>
      </c>
      <c r="B11" s="208"/>
      <c r="C11" s="225"/>
    </row>
    <row r="12" spans="1:3" ht="12">
      <c r="A12" s="223" t="s">
        <v>350</v>
      </c>
      <c r="B12" s="308">
        <v>0.025</v>
      </c>
      <c r="C12" s="227" t="s">
        <v>191</v>
      </c>
    </row>
    <row r="13" spans="1:3" ht="12">
      <c r="A13" s="224" t="s">
        <v>351</v>
      </c>
      <c r="B13" s="228">
        <f>(B12*B7*B10*(PV(Econ!B23,Econ!B15,-B9)-PV(Econ!B23,12.5,-B9)))/5</f>
        <v>38207506.658447094</v>
      </c>
      <c r="C13" s="225" t="s">
        <v>44</v>
      </c>
    </row>
    <row r="14" spans="1:3" ht="3" customHeight="1">
      <c r="A14" s="90"/>
      <c r="B14" s="91"/>
      <c r="C14" s="68"/>
    </row>
    <row r="15" spans="1:3" ht="12">
      <c r="A15" s="219" t="s">
        <v>233</v>
      </c>
      <c r="B15" s="198"/>
      <c r="C15" s="2"/>
    </row>
    <row r="16" spans="1:3" ht="12">
      <c r="A16" s="220">
        <v>2014</v>
      </c>
      <c r="B16" s="221">
        <f>B13</f>
        <v>38207506.658447094</v>
      </c>
      <c r="C16" s="2"/>
    </row>
    <row r="17" spans="1:3" ht="12">
      <c r="A17" s="220">
        <v>2015</v>
      </c>
      <c r="B17" s="221">
        <f>B16*(1+'Demo &amp; Health'!B$11)</f>
        <v>38589581.72503156</v>
      </c>
      <c r="C17" s="2"/>
    </row>
    <row r="18" spans="1:3" ht="12">
      <c r="A18" s="220">
        <v>2016</v>
      </c>
      <c r="B18" s="221">
        <f>B17*(1+'Demo &amp; Health'!B$11)</f>
        <v>38975477.54228188</v>
      </c>
      <c r="C18" s="2"/>
    </row>
    <row r="19" spans="1:3" ht="12">
      <c r="A19" s="220">
        <v>2017</v>
      </c>
      <c r="B19" s="221">
        <f>B18*(1+'Demo &amp; Health'!B$11)</f>
        <v>39365232.3177047</v>
      </c>
      <c r="C19" s="2"/>
    </row>
    <row r="20" spans="1:3" ht="12">
      <c r="A20" s="220">
        <v>2018</v>
      </c>
      <c r="B20" s="221">
        <f>B19*(1+'Demo &amp; Health'!B$11)</f>
        <v>39758884.64088175</v>
      </c>
      <c r="C20" s="2"/>
    </row>
    <row r="21" spans="1:3" ht="12">
      <c r="A21" s="220">
        <v>2019</v>
      </c>
      <c r="B21" s="221">
        <f>B20*(1+'Demo &amp; Health'!B$11)</f>
        <v>40156473.48729056</v>
      </c>
      <c r="C21" s="2"/>
    </row>
    <row r="22" spans="1:3" ht="12">
      <c r="A22" s="220">
        <v>2020</v>
      </c>
      <c r="B22" s="221">
        <f>B21*(1+'Demo &amp; Health'!B$11)</f>
        <v>40558038.22216347</v>
      </c>
      <c r="C22" s="2"/>
    </row>
    <row r="23" spans="1:3" ht="12">
      <c r="A23" s="220">
        <v>2021</v>
      </c>
      <c r="B23" s="221">
        <f>B22*(1+'Demo &amp; Health'!B$11)</f>
        <v>40963618.6043851</v>
      </c>
      <c r="C23" s="2"/>
    </row>
    <row r="24" spans="1:3" ht="12">
      <c r="A24" s="220">
        <v>2022</v>
      </c>
      <c r="B24" s="221">
        <f>B23*(1+'Demo &amp; Health'!B$11)</f>
        <v>41373254.79042895</v>
      </c>
      <c r="C24" s="2"/>
    </row>
    <row r="25" spans="1:3" ht="12">
      <c r="A25" s="220">
        <v>2023</v>
      </c>
      <c r="B25" s="221">
        <f>B24*(1+'Demo &amp; Health'!B$11)</f>
        <v>41786987.33833324</v>
      </c>
      <c r="C25" s="2"/>
    </row>
    <row r="26" spans="1:3" ht="12">
      <c r="A26" s="208"/>
      <c r="B26" s="221">
        <f>SUM(B16:B25)</f>
        <v>399735055.3269483</v>
      </c>
      <c r="C26" s="2"/>
    </row>
  </sheetData>
  <sheetProtection/>
  <printOptions/>
  <pageMargins left="0.75" right="0.75" top="1" bottom="1" header="0.5" footer="0.5"/>
  <pageSetup horizontalDpi="600" verticalDpi="600" orientation="portrait"/>
</worksheet>
</file>

<file path=xl/worksheets/sheet9.xml><?xml version="1.0" encoding="utf-8"?>
<worksheet xmlns="http://schemas.openxmlformats.org/spreadsheetml/2006/main" xmlns:r="http://schemas.openxmlformats.org/officeDocument/2006/relationships">
  <sheetPr>
    <tabColor rgb="FF00B050"/>
  </sheetPr>
  <dimension ref="A1:E33"/>
  <sheetViews>
    <sheetView zoomScale="101" zoomScaleNormal="101" workbookViewId="0" topLeftCell="A1">
      <selection activeCell="E32" sqref="E32"/>
    </sheetView>
  </sheetViews>
  <sheetFormatPr defaultColWidth="8.8515625" defaultRowHeight="12.75"/>
  <cols>
    <col min="1" max="1" width="48.421875" style="56" customWidth="1"/>
    <col min="2" max="3" width="14.8515625" style="56" bestFit="1" customWidth="1"/>
    <col min="4" max="4" width="13.00390625" style="56" customWidth="1"/>
    <col min="5" max="5" width="32.28125" style="56" bestFit="1" customWidth="1"/>
    <col min="6" max="6" width="17.140625" style="56" customWidth="1"/>
    <col min="7" max="16384" width="8.8515625" style="56" customWidth="1"/>
  </cols>
  <sheetData>
    <row r="1" spans="1:5" ht="12">
      <c r="A1" s="162" t="s">
        <v>31</v>
      </c>
      <c r="B1" s="238" t="s">
        <v>8</v>
      </c>
      <c r="C1" s="238" t="s">
        <v>9</v>
      </c>
      <c r="D1" s="239" t="s">
        <v>10</v>
      </c>
      <c r="E1" s="240" t="s">
        <v>41</v>
      </c>
    </row>
    <row r="2" spans="1:5" ht="12">
      <c r="A2" s="234" t="s">
        <v>4</v>
      </c>
      <c r="B2" s="241"/>
      <c r="C2" s="242"/>
      <c r="D2" s="243"/>
      <c r="E2" s="243"/>
    </row>
    <row r="3" spans="1:5" ht="12.75">
      <c r="A3" s="235" t="s">
        <v>24</v>
      </c>
      <c r="B3" s="244">
        <f>'Demo &amp; Health'!B35</f>
        <v>0.12895663914581912</v>
      </c>
      <c r="C3" s="244">
        <f>'Demo &amp; Health'!B38</f>
        <v>0.03223915978645478</v>
      </c>
      <c r="D3" s="243"/>
      <c r="E3" s="243" t="s">
        <v>44</v>
      </c>
    </row>
    <row r="4" spans="1:5" ht="12.75">
      <c r="A4" s="235" t="s">
        <v>11</v>
      </c>
      <c r="B4" s="144"/>
      <c r="C4" s="144"/>
      <c r="D4" s="245"/>
      <c r="E4" s="243"/>
    </row>
    <row r="5" spans="1:5" ht="12">
      <c r="A5" s="236" t="s">
        <v>150</v>
      </c>
      <c r="B5" s="252">
        <f>Econ!B7</f>
        <v>3200000</v>
      </c>
      <c r="C5" s="252">
        <f>Econ!B6</f>
        <v>3600000</v>
      </c>
      <c r="D5" s="246">
        <f>SUM(B5:C5)</f>
        <v>6800000</v>
      </c>
      <c r="E5" s="243" t="s">
        <v>413</v>
      </c>
    </row>
    <row r="6" spans="1:5" ht="12">
      <c r="A6" s="142" t="s">
        <v>182</v>
      </c>
      <c r="B6" s="253">
        <f>Econ!B4</f>
        <v>0.8</v>
      </c>
      <c r="C6" s="253">
        <f>Econ!B3</f>
        <v>0.9</v>
      </c>
      <c r="D6" s="243"/>
      <c r="E6" s="243" t="s">
        <v>413</v>
      </c>
    </row>
    <row r="7" spans="1:5" ht="12">
      <c r="A7" s="235" t="s">
        <v>21</v>
      </c>
      <c r="B7" s="251">
        <f>B5*B6</f>
        <v>2560000</v>
      </c>
      <c r="C7" s="251">
        <f>C5*C6</f>
        <v>3240000</v>
      </c>
      <c r="D7" s="246">
        <f>SUM(B7:C7)</f>
        <v>5800000</v>
      </c>
      <c r="E7" s="243" t="s">
        <v>44</v>
      </c>
    </row>
    <row r="8" spans="1:5" ht="12">
      <c r="A8" s="235" t="s">
        <v>414</v>
      </c>
      <c r="B8" s="254">
        <v>0.9</v>
      </c>
      <c r="C8" s="254">
        <v>0.9</v>
      </c>
      <c r="D8" s="247"/>
      <c r="E8" s="248" t="s">
        <v>292</v>
      </c>
    </row>
    <row r="9" spans="1:5" ht="12">
      <c r="A9" s="235" t="s">
        <v>12</v>
      </c>
      <c r="B9" s="165">
        <f>B7*B8</f>
        <v>2304000</v>
      </c>
      <c r="C9" s="165">
        <f>C7*C8</f>
        <v>2916000</v>
      </c>
      <c r="D9" s="246">
        <f>SUM(B9:C9)</f>
        <v>5220000</v>
      </c>
      <c r="E9" s="243" t="s">
        <v>44</v>
      </c>
    </row>
    <row r="10" spans="1:5" ht="12">
      <c r="A10" s="235" t="s">
        <v>13</v>
      </c>
      <c r="B10" s="309">
        <v>0.15</v>
      </c>
      <c r="C10" s="309">
        <v>0.15</v>
      </c>
      <c r="D10" s="247"/>
      <c r="E10" s="243" t="s">
        <v>199</v>
      </c>
    </row>
    <row r="11" spans="1:5" ht="12">
      <c r="A11" s="235" t="s">
        <v>14</v>
      </c>
      <c r="B11" s="165">
        <f>B10*B9</f>
        <v>345600</v>
      </c>
      <c r="C11" s="165">
        <f>C10*C9</f>
        <v>437400</v>
      </c>
      <c r="D11" s="246">
        <f>SUM(B11:C11)</f>
        <v>783000</v>
      </c>
      <c r="E11" s="243" t="s">
        <v>44</v>
      </c>
    </row>
    <row r="12" spans="1:5" ht="12">
      <c r="A12" s="237" t="s">
        <v>26</v>
      </c>
      <c r="B12" s="255">
        <f>C12*Econ!B22</f>
        <v>1429.4117647058822</v>
      </c>
      <c r="C12" s="255">
        <f>Econ!B21</f>
        <v>1588.2352941176468</v>
      </c>
      <c r="D12" s="247"/>
      <c r="E12" s="243" t="s">
        <v>413</v>
      </c>
    </row>
    <row r="13" spans="1:5" ht="12">
      <c r="A13" s="237" t="s">
        <v>1</v>
      </c>
      <c r="B13" s="256"/>
      <c r="C13" s="256"/>
      <c r="D13" s="247"/>
      <c r="E13" s="243"/>
    </row>
    <row r="14" spans="1:5" ht="12">
      <c r="A14" s="237" t="s">
        <v>246</v>
      </c>
      <c r="B14" s="165">
        <f>B9*B3</f>
        <v>297116.0965919673</v>
      </c>
      <c r="C14" s="165">
        <f>C9*C3</f>
        <v>94009.38993730214</v>
      </c>
      <c r="D14" s="246">
        <f>SUM(B14:C14)</f>
        <v>391125.48652926943</v>
      </c>
      <c r="E14" s="243" t="s">
        <v>44</v>
      </c>
    </row>
    <row r="15" spans="1:5" ht="12">
      <c r="A15" s="237" t="s">
        <v>15</v>
      </c>
      <c r="B15" s="309">
        <v>0.05</v>
      </c>
      <c r="C15" s="309">
        <v>0.05</v>
      </c>
      <c r="D15" s="249"/>
      <c r="E15" s="243" t="s">
        <v>201</v>
      </c>
    </row>
    <row r="16" spans="1:5" ht="12">
      <c r="A16" s="237" t="s">
        <v>16</v>
      </c>
      <c r="B16" s="257">
        <f>B14*B12*B15</f>
        <v>21235062.197602365</v>
      </c>
      <c r="C16" s="257">
        <f>C14*C12*C15</f>
        <v>7465451.553844582</v>
      </c>
      <c r="D16" s="250">
        <f>SUM(B16:C16)</f>
        <v>28700513.751446947</v>
      </c>
      <c r="E16" s="243" t="s">
        <v>44</v>
      </c>
    </row>
    <row r="17" spans="1:5" ht="12">
      <c r="A17" s="237" t="s">
        <v>32</v>
      </c>
      <c r="B17" s="165">
        <f>B11*B3</f>
        <v>44567.41448879509</v>
      </c>
      <c r="C17" s="165">
        <f>C11*C3</f>
        <v>14101.40849059532</v>
      </c>
      <c r="D17" s="246">
        <f>SUM(B17:C17)</f>
        <v>58668.82297939041</v>
      </c>
      <c r="E17" s="243" t="s">
        <v>44</v>
      </c>
    </row>
    <row r="18" spans="1:5" ht="12">
      <c r="A18" s="237" t="s">
        <v>17</v>
      </c>
      <c r="B18" s="309">
        <v>0.12</v>
      </c>
      <c r="C18" s="309">
        <v>0.12</v>
      </c>
      <c r="D18" s="249"/>
      <c r="E18" s="243" t="s">
        <v>201</v>
      </c>
    </row>
    <row r="19" spans="1:5" ht="12">
      <c r="A19" s="237" t="s">
        <v>18</v>
      </c>
      <c r="B19" s="257">
        <f>B18*B17*B12</f>
        <v>7644622.391136851</v>
      </c>
      <c r="C19" s="257">
        <f>C18*C17*C12</f>
        <v>2687562.559384049</v>
      </c>
      <c r="D19" s="250">
        <f>SUM(B19:C19)</f>
        <v>10332184.9505209</v>
      </c>
      <c r="E19" s="243" t="s">
        <v>44</v>
      </c>
    </row>
    <row r="20" spans="1:5" ht="12">
      <c r="A20" s="237" t="s">
        <v>19</v>
      </c>
      <c r="B20" s="257">
        <f>B16+B19</f>
        <v>28879684.588739216</v>
      </c>
      <c r="C20" s="257">
        <f>C16+C19</f>
        <v>10153014.11322863</v>
      </c>
      <c r="D20" s="250">
        <f>D16+D19</f>
        <v>39032698.70196785</v>
      </c>
      <c r="E20" s="243" t="s">
        <v>44</v>
      </c>
    </row>
    <row r="21" ht="16.5" customHeight="1"/>
    <row r="22" spans="1:2" ht="12">
      <c r="A22" s="162" t="s">
        <v>153</v>
      </c>
      <c r="B22" s="142"/>
    </row>
    <row r="23" spans="1:2" ht="12">
      <c r="A23" s="232">
        <v>2014</v>
      </c>
      <c r="B23" s="233">
        <f>D20</f>
        <v>39032698.70196785</v>
      </c>
    </row>
    <row r="24" spans="1:2" ht="12">
      <c r="A24" s="232">
        <v>2015</v>
      </c>
      <c r="B24" s="233">
        <f>B23*(1+'Demo &amp; Health'!B$10)</f>
        <v>40203679.663026884</v>
      </c>
    </row>
    <row r="25" spans="1:2" ht="12">
      <c r="A25" s="232">
        <v>2016</v>
      </c>
      <c r="B25" s="233">
        <f>B24*(1+'Demo &amp; Health'!B$10)</f>
        <v>41409790.05291769</v>
      </c>
    </row>
    <row r="26" spans="1:2" ht="12">
      <c r="A26" s="232">
        <v>2017</v>
      </c>
      <c r="B26" s="233">
        <f>B25*(1+'Demo &amp; Health'!B$10)</f>
        <v>42652083.754505225</v>
      </c>
    </row>
    <row r="27" spans="1:2" ht="12">
      <c r="A27" s="232">
        <v>2018</v>
      </c>
      <c r="B27" s="233">
        <f>B26*(1+'Demo &amp; Health'!B$10)</f>
        <v>43931646.26714038</v>
      </c>
    </row>
    <row r="28" spans="1:2" ht="12">
      <c r="A28" s="232">
        <v>2019</v>
      </c>
      <c r="B28" s="233">
        <f>B27*(1+'Demo &amp; Health'!B$10)</f>
        <v>45249595.65515459</v>
      </c>
    </row>
    <row r="29" spans="1:2" ht="12">
      <c r="A29" s="232">
        <v>2020</v>
      </c>
      <c r="B29" s="233">
        <f>B28*(1+'Demo &amp; Health'!B$10)</f>
        <v>46607083.524809234</v>
      </c>
    </row>
    <row r="30" spans="1:2" ht="12">
      <c r="A30" s="232">
        <v>2021</v>
      </c>
      <c r="B30" s="233">
        <f>B29*(1+'Demo &amp; Health'!B$10)</f>
        <v>48005296.03055351</v>
      </c>
    </row>
    <row r="31" spans="1:2" ht="12">
      <c r="A31" s="232">
        <v>2022</v>
      </c>
      <c r="B31" s="233">
        <f>B30*(1+'Demo &amp; Health'!B$10)</f>
        <v>49445454.91147012</v>
      </c>
    </row>
    <row r="32" spans="1:2" ht="12">
      <c r="A32" s="232">
        <v>2023</v>
      </c>
      <c r="B32" s="233">
        <f>B31*(1+'Demo &amp; Health'!B$10)</f>
        <v>50928818.55881423</v>
      </c>
    </row>
    <row r="33" spans="1:2" ht="12">
      <c r="A33" s="142"/>
      <c r="B33" s="233">
        <f>SUM(B23:B32)</f>
        <v>447466147.1203597</v>
      </c>
    </row>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sheetData>
  <sheetProtection/>
  <printOptions/>
  <pageMargins left="0.75" right="0.75" top="1" bottom="1" header="0.5" footer="0.5"/>
  <pageSetup horizontalDpi="600" verticalDpi="600" orientation="portrait"/>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Becky Handforth</cp:lastModifiedBy>
  <cp:lastPrinted>2013-05-27T17:10:41Z</cp:lastPrinted>
  <dcterms:created xsi:type="dcterms:W3CDTF">2008-08-21T14:49:30Z</dcterms:created>
  <dcterms:modified xsi:type="dcterms:W3CDTF">2014-02-07T01:40:00Z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